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defaultThemeVersion="166925"/>
  <mc:AlternateContent xmlns:mc="http://schemas.openxmlformats.org/markup-compatibility/2006">
    <mc:Choice Requires="x15">
      <x15ac:absPath xmlns:x15ac="http://schemas.microsoft.com/office/spreadsheetml/2010/11/ac" url="/Users/david/Dropbox (TDI)/Live TDI Projects/Facility for Sustainable Mining Communities/6. Resources/Toolkit - Aug 2019/"/>
    </mc:Choice>
  </mc:AlternateContent>
  <xr:revisionPtr revIDLastSave="0" documentId="13_ncr:1_{9F3DA6C0-1211-4941-8A8E-B7C338EAD051}" xr6:coauthVersionLast="45" xr6:coauthVersionMax="45" xr10:uidLastSave="{00000000-0000-0000-0000-000000000000}"/>
  <bookViews>
    <workbookView xWindow="0" yWindow="460" windowWidth="28800" windowHeight="16580" activeTab="1" xr2:uid="{0A28D74C-A526-AC41-AD84-B2B408B2C118}"/>
  </bookViews>
  <sheets>
    <sheet name="Instructions for Use" sheetId="4" r:id="rId1"/>
    <sheet name="Data Entry" sheetId="1" r:id="rId2"/>
    <sheet name="Stats" sheetId="6" state="hidden" r:id="rId3"/>
    <sheet name="Results" sheetId="5" r:id="rId4"/>
    <sheet name="Sheet3" sheetId="9" state="hidden" r:id="rId5"/>
    <sheet name="Dropdown Options" sheetId="2" state="hidden" r:id="rId6"/>
  </sheets>
  <calcPr calcId="191029"/>
  <pivotCaches>
    <pivotCache cacheId="1"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6" i="6" l="1"/>
  <c r="H24" i="6"/>
  <c r="I14" i="6"/>
  <c r="I15" i="6"/>
  <c r="I16" i="6"/>
  <c r="G16" i="6"/>
  <c r="H23" i="6"/>
  <c r="I13" i="6"/>
  <c r="G15" i="6"/>
  <c r="G14" i="6"/>
  <c r="G13" i="6"/>
  <c r="C15" i="6"/>
  <c r="H36" i="5" s="1"/>
  <c r="C14" i="6"/>
  <c r="C13" i="6"/>
  <c r="E7" i="6" l="1"/>
  <c r="E6" i="6"/>
  <c r="E5" i="6"/>
  <c r="E4" i="6"/>
  <c r="E3" i="6"/>
  <c r="H25" i="6"/>
  <c r="H22" i="6"/>
  <c r="H21" i="6"/>
  <c r="H16" i="6"/>
  <c r="H15" i="6"/>
  <c r="H14" i="6"/>
  <c r="H13" i="6"/>
  <c r="H12" i="6"/>
  <c r="H7" i="6"/>
  <c r="H6" i="6"/>
  <c r="H5" i="6"/>
  <c r="H4" i="6"/>
  <c r="H3" i="6"/>
  <c r="E12" i="6" l="1"/>
  <c r="I25" i="6"/>
  <c r="I24" i="6"/>
  <c r="I23" i="6"/>
  <c r="I22" i="6"/>
  <c r="I21" i="6"/>
  <c r="G25" i="6"/>
  <c r="G24" i="6"/>
  <c r="G23" i="6"/>
  <c r="G22" i="6"/>
  <c r="G21" i="6"/>
  <c r="F25" i="6"/>
  <c r="F24" i="6"/>
  <c r="F23" i="6"/>
  <c r="F22" i="6"/>
  <c r="F21" i="6"/>
  <c r="E21" i="6"/>
  <c r="E25" i="6"/>
  <c r="E24" i="6"/>
  <c r="E23" i="6"/>
  <c r="E22" i="6"/>
  <c r="D25" i="6"/>
  <c r="D24" i="6"/>
  <c r="D23" i="6"/>
  <c r="D22" i="6"/>
  <c r="D21" i="6"/>
  <c r="C25" i="6"/>
  <c r="C21" i="6"/>
  <c r="C24" i="6"/>
  <c r="N36" i="5" s="1"/>
  <c r="C23" i="6"/>
  <c r="C22" i="6"/>
  <c r="D14" i="6"/>
  <c r="D12" i="6"/>
  <c r="I12" i="6"/>
  <c r="G5" i="6"/>
  <c r="F16" i="6"/>
  <c r="F15" i="6"/>
  <c r="F14" i="6"/>
  <c r="F13" i="6"/>
  <c r="F12" i="6"/>
  <c r="E16" i="6"/>
  <c r="E15" i="6"/>
  <c r="E14" i="6"/>
  <c r="E13" i="6"/>
  <c r="D16" i="6"/>
  <c r="D15" i="6"/>
  <c r="D13" i="6"/>
  <c r="G3" i="6"/>
  <c r="C7" i="6"/>
  <c r="D7" i="6"/>
  <c r="I7" i="6"/>
  <c r="G7" i="6"/>
  <c r="F7" i="6"/>
  <c r="I5" i="6"/>
  <c r="F5" i="6"/>
  <c r="D5" i="6"/>
  <c r="I4" i="6"/>
  <c r="F4" i="6"/>
  <c r="D4" i="6"/>
  <c r="I6" i="6"/>
  <c r="D6" i="6"/>
  <c r="F6" i="6"/>
  <c r="I3" i="6"/>
  <c r="F3" i="6"/>
  <c r="D3" i="6"/>
  <c r="C12" i="6"/>
  <c r="G12" i="6"/>
  <c r="B2" i="5" l="1"/>
  <c r="C6" i="6"/>
  <c r="B36" i="5" s="1"/>
  <c r="I26" i="6"/>
  <c r="I27" i="6" s="1"/>
  <c r="H26" i="6"/>
  <c r="H27" i="6" s="1"/>
  <c r="F26" i="6"/>
  <c r="F27" i="6" s="1"/>
  <c r="E26" i="6"/>
  <c r="E27" i="6" s="1"/>
  <c r="D26" i="6"/>
  <c r="D27" i="6" s="1"/>
  <c r="I17" i="6"/>
  <c r="I18" i="6" s="1"/>
  <c r="H17" i="6"/>
  <c r="H18" i="6" s="1"/>
  <c r="F17" i="6"/>
  <c r="F18" i="6" s="1"/>
  <c r="E17" i="6"/>
  <c r="E18" i="6" s="1"/>
  <c r="D17" i="6"/>
  <c r="D18" i="6" s="1"/>
  <c r="D8" i="6"/>
  <c r="D9" i="6" s="1"/>
  <c r="E8" i="6"/>
  <c r="E9" i="6" s="1"/>
  <c r="F8" i="6"/>
  <c r="F9" i="6" s="1"/>
  <c r="H8" i="6"/>
  <c r="I8" i="6"/>
  <c r="G6" i="6"/>
  <c r="G4" i="6"/>
  <c r="C3" i="6"/>
  <c r="C5" i="6"/>
  <c r="C4" i="6"/>
  <c r="C8" i="6" l="1"/>
  <c r="C9" i="6" s="1"/>
  <c r="G8" i="6"/>
  <c r="G9" i="6" s="1"/>
  <c r="G26" i="6"/>
  <c r="G27" i="6" s="1"/>
  <c r="G17" i="6"/>
  <c r="G18" i="6" s="1"/>
  <c r="C18" i="6"/>
  <c r="C26" i="6"/>
  <c r="C27" i="6" s="1"/>
</calcChain>
</file>

<file path=xl/sharedStrings.xml><?xml version="1.0" encoding="utf-8"?>
<sst xmlns="http://schemas.openxmlformats.org/spreadsheetml/2006/main" count="663" uniqueCount="371">
  <si>
    <t>pw: ESG</t>
  </si>
  <si>
    <t>Name of Mine:</t>
  </si>
  <si>
    <t>Submitted on:</t>
  </si>
  <si>
    <t>Country:</t>
  </si>
  <si>
    <t>Data Captured by:</t>
  </si>
  <si>
    <t>Principle</t>
  </si>
  <si>
    <t>Number</t>
  </si>
  <si>
    <t>Criterion</t>
  </si>
  <si>
    <t>Escalator Level</t>
  </si>
  <si>
    <t>Performance Baseline (MM/YYYY)</t>
  </si>
  <si>
    <t>Performance Determination</t>
  </si>
  <si>
    <t>Date of Assessment (DD/MM/YYYY)</t>
  </si>
  <si>
    <t>Description of Evidence Provided</t>
  </si>
  <si>
    <t>Dropbox-Link</t>
  </si>
  <si>
    <t>Valid Till</t>
  </si>
  <si>
    <t>#ID</t>
  </si>
  <si>
    <t>Legal Compliance</t>
  </si>
  <si>
    <t>1.1.1</t>
  </si>
  <si>
    <t>The organisation’s activity is legitimate in the country of operation</t>
  </si>
  <si>
    <t>Basic</t>
  </si>
  <si>
    <t>Meets</t>
  </si>
  <si>
    <t>1.1.2</t>
  </si>
  <si>
    <t>The organisation is legally registered with the government</t>
  </si>
  <si>
    <t>1.1.3</t>
  </si>
  <si>
    <t>The organisation must not appear on, employ, or sell to persons on the consolidated list of asset freeze targets designated by the United Nations, European Union and United States</t>
  </si>
  <si>
    <t>1.2.1</t>
  </si>
  <si>
    <t>Royalties on production are paid at the legally obligated rate</t>
  </si>
  <si>
    <t>1.2.2</t>
  </si>
  <si>
    <t>All taxes, fees, royalties and other tributes as required by applicable legislation must be paid to the relevant authority</t>
  </si>
  <si>
    <t>Intermediate</t>
  </si>
  <si>
    <t>1.3.1</t>
  </si>
  <si>
    <t>The organisation or its members must possess, or be granted landrights and permissions for all areas on which it operates from the government or the original land holder(s)</t>
  </si>
  <si>
    <t>1.3.2</t>
  </si>
  <si>
    <t>The organisation or its members must possess, or be granted, necessary permits/ licenses for the activities of its operation</t>
  </si>
  <si>
    <t>1.3.3</t>
  </si>
  <si>
    <t>The organisation must comply with national environmental laws and have submitted pending applications for all environmental licenses, permits,  or management plans according to national legal requirements</t>
  </si>
  <si>
    <t>Advanced I</t>
  </si>
  <si>
    <t>N/A</t>
  </si>
  <si>
    <t>1.4.1</t>
  </si>
  <si>
    <t>The organisation only sells its production to traders with legal permits to trade</t>
  </si>
  <si>
    <t>Misses</t>
  </si>
  <si>
    <t>1.5.1</t>
  </si>
  <si>
    <t>The organisation's activities neither directly nor indirectly finance or support illegal activities or armed conflicts</t>
  </si>
  <si>
    <t>1.5.2</t>
  </si>
  <si>
    <t>The organisation identifies and assesses the risk of funding illegal activity or conflict through its supply chain, and puts in place reasonable measures to minimise risk</t>
  </si>
  <si>
    <t>1.5.3</t>
  </si>
  <si>
    <t xml:space="preserve">A grievance procedure for human rights infringements must be in place which includes a due diligence process. If a grievance cannot be resolved, then concerns shall be investigated by an independent human rights body </t>
  </si>
  <si>
    <t>Good Governance</t>
  </si>
  <si>
    <t>2.1.1</t>
  </si>
  <si>
    <t>The organisation has a clear and transparent structure and decision-making process appropriate to the size of the organisation that enable the effective control and monitoring of business activities</t>
  </si>
  <si>
    <t>2.1.2</t>
  </si>
  <si>
    <t>The organisation has a transparent ownership structure</t>
  </si>
  <si>
    <t>2.1.3</t>
  </si>
  <si>
    <t>Organisational leadership and staff promotions are determined on the basis of relevant experience and qualification in a transparent and accountable manner</t>
  </si>
  <si>
    <t>2.2.1</t>
  </si>
  <si>
    <t>The organisation prevents, detects and remediates corruption</t>
  </si>
  <si>
    <t>2.2.2</t>
  </si>
  <si>
    <t xml:space="preserve">The organisation's workers are provided training and information about the organisation's policies and procedures </t>
  </si>
  <si>
    <t>2.3.1</t>
  </si>
  <si>
    <t xml:space="preserve">The organisation maintains a registry of all workers and records of visitors accessing the site </t>
  </si>
  <si>
    <t>2.3.2</t>
  </si>
  <si>
    <t>The organisation has a dedicated bank account and maintains appropriate banking records for all its accounts </t>
  </si>
  <si>
    <t>2.3.3</t>
  </si>
  <si>
    <t>The organisation has up-to-date bank receipts or statements</t>
  </si>
  <si>
    <t>2.3.4</t>
  </si>
  <si>
    <t>The organisation has a procedure(s) to monitor ingress to high risk areas, such as mine shafts or pits</t>
  </si>
  <si>
    <t>2.4.1</t>
  </si>
  <si>
    <t>Product not produced by the organisation must be kept physically separate and labelled as such from procurement to sale</t>
  </si>
  <si>
    <t>2.4.2</t>
  </si>
  <si>
    <t>All transactions between a producer organisation and trader are documented, including dates, volume, price, physical form of the product when transacted, seller identity, trader identity and permit number where available</t>
  </si>
  <si>
    <t>2.4.3</t>
  </si>
  <si>
    <t>Product with certification or other unique selling point should be kept physically separate and traceable through labelling from production to sale</t>
  </si>
  <si>
    <t>2.4.4</t>
  </si>
  <si>
    <t>The organisation carries out regular checks of production from all work places to ensure that no outside production is mixed with internal production</t>
  </si>
  <si>
    <t>Financial Management</t>
  </si>
  <si>
    <t>3.1.1</t>
  </si>
  <si>
    <t xml:space="preserve">The organisation maintains partial records of its production, revenue and expenses </t>
  </si>
  <si>
    <t>3.1.2</t>
  </si>
  <si>
    <t xml:space="preserve">The organisation maintains full records of its production, revenue and expenses </t>
  </si>
  <si>
    <t>3.1.3</t>
  </si>
  <si>
    <t>The organisation sets aside a budget for the following month</t>
  </si>
  <si>
    <t>3.1.4</t>
  </si>
  <si>
    <t>The organisation sets aside a budget for the following six months</t>
  </si>
  <si>
    <t>3.1.5</t>
  </si>
  <si>
    <t xml:space="preserve">The organisation maintains a list of assets </t>
  </si>
  <si>
    <t>3.1.6</t>
  </si>
  <si>
    <t xml:space="preserve">The organisation uses petty cash accountably to cover basic, immediate expenses </t>
  </si>
  <si>
    <t>3.2.1</t>
  </si>
  <si>
    <t>The organisation identifies and adresses business risk</t>
  </si>
  <si>
    <t>3.2.2</t>
  </si>
  <si>
    <t>The organisation maintains a business plan which is regularly updated and includes cash flow projection</t>
  </si>
  <si>
    <t>3.2.3</t>
  </si>
  <si>
    <t>The organisation's business plan should include investment in the creation and maintenance of the ecological integrity of the environment in and around the organisation's operations</t>
  </si>
  <si>
    <t>Advanced II</t>
  </si>
  <si>
    <t>Decent Work</t>
  </si>
  <si>
    <t>4.1.1</t>
  </si>
  <si>
    <t>Forced Labour, including bonded or involuntary prison labour, must not occur</t>
  </si>
  <si>
    <t xml:space="preserve"> 4.2.1</t>
  </si>
  <si>
    <t>Minimum contracted employment age must not be less than 15 years, unless existing national law for the sector of employment sepcifies this to be higher</t>
  </si>
  <si>
    <t>4.2.2</t>
  </si>
  <si>
    <t>Persons under 18 years of age must not be employed or contracted for any type of hazardous labour, which by its nature or the circumstances under which it is carried out, is likely to jeopardise their health, safety, morals or educational development</t>
  </si>
  <si>
    <t>4.3.1</t>
  </si>
  <si>
    <t xml:space="preserve">Discrimination must not be tolerated </t>
  </si>
  <si>
    <t>4.3.2</t>
  </si>
  <si>
    <t xml:space="preserve">The organisation has a grievance mechanism to effectively receive and respond to confidential complaints from workers </t>
  </si>
  <si>
    <t>4.3.3</t>
  </si>
  <si>
    <t>Appropriate measures are taken to ensure equal representation of women in the organisation</t>
  </si>
  <si>
    <t>4.4.1</t>
  </si>
  <si>
    <t xml:space="preserve">The organisation and its workers do not engage in, support or tolerate the use of corporal punishment, mental or physical coercion or verbal abuse </t>
  </si>
  <si>
    <t>4.4.2</t>
  </si>
  <si>
    <t>Workers must not engage in, support or tolerate behaviour, including gestures, language, and physical contact, that is sexually intimidating, abusive or exploitative</t>
  </si>
  <si>
    <t>4.4.3</t>
  </si>
  <si>
    <t>The organisation does not tolerate gender-based violence</t>
  </si>
  <si>
    <t>4.5.1</t>
  </si>
  <si>
    <t>The organisation must recognise in writing and in practice the right of all workers to organise and to join workers' organisations of their own choice and to collectively negociate their working conditions</t>
  </si>
  <si>
    <t>4.5.2</t>
  </si>
  <si>
    <t>The organisation provides workers' representatives with facilities, resources and time during working hours for meetings with workers and to effectively carry out their functions</t>
  </si>
  <si>
    <t>4.6.1</t>
  </si>
  <si>
    <t>All workers' wages must be equal to or exceed the sector national average wages or official minimum wages for similar occupations, whichever is higher, or workers receive shares of production or profit that are representative of their work</t>
  </si>
  <si>
    <t>4.6.2</t>
  </si>
  <si>
    <t>Employed workers' remuneration must be made regurlarly and be properly documented</t>
  </si>
  <si>
    <t>4.6.3</t>
  </si>
  <si>
    <t>Lowest wages must be gradually increased to 'living wage' levels above the official minimum wage</t>
  </si>
  <si>
    <t>4.6.4</t>
  </si>
  <si>
    <t>All workers' wages must equal or exceed a 'living wage' for the country in which they work</t>
  </si>
  <si>
    <t>4.6.5</t>
  </si>
  <si>
    <t>Under normal conditions, working hours must not exceed 48 hours per week and include at least 24 consecutive hours of rest per week. Overtime must not exceed 12 hours per week or a maximum of 3 hours per day</t>
  </si>
  <si>
    <t>4.6.6</t>
  </si>
  <si>
    <t xml:space="preserve">Deductions from salaries of hired workers are only permitted as agreed by national laws, as fixed by a collective bargaining agreement or if the employee has given their written consent </t>
  </si>
  <si>
    <t>4.6.7</t>
  </si>
  <si>
    <t xml:space="preserve">All third party hired workers, seasonal and migrant workers must receive employment conditions equal to or better than those provided to other workers within the organisation for the same work performed </t>
  </si>
  <si>
    <t>4.6.8</t>
  </si>
  <si>
    <t xml:space="preserve">All workers have a legal contract clearly stating terms of work </t>
  </si>
  <si>
    <t>4.6.9</t>
  </si>
  <si>
    <t>If workers are provided with housing, the conditions and the infrastructure of the house must be such as to ensure decency, privacy and security. Housing must be provided at reasonable cost, and workers must not be obliged to use the employer's housing</t>
  </si>
  <si>
    <t>4.7.1</t>
  </si>
  <si>
    <t xml:space="preserve">All workers must be fit for work </t>
  </si>
  <si>
    <t>4.7.2</t>
  </si>
  <si>
    <t>The organisation provided support to all pregnant and breastfeeding workers, and assigns them appropriate, non-hazardous work</t>
  </si>
  <si>
    <t>4.7.3</t>
  </si>
  <si>
    <t>A committee must be established to monitor and manage health and safety risks in the workplace, for the whole operational area of the organisation</t>
  </si>
  <si>
    <t>4.7.4</t>
  </si>
  <si>
    <t>Adequate measures for rock stability are used in all work areas, or areas that could lead to propagation of instability in work areas</t>
  </si>
  <si>
    <t>4.7.5</t>
  </si>
  <si>
    <t>Adequate ventilation is provided in all work areas</t>
  </si>
  <si>
    <t>4.7.6</t>
  </si>
  <si>
    <t>All workers must use personal protection equipment (PPE) appropriate to their respective work activity</t>
  </si>
  <si>
    <t>4.7.7</t>
  </si>
  <si>
    <t xml:space="preserve">Potable water and hygiene facilities are available to all workers </t>
  </si>
  <si>
    <t>4.7.8</t>
  </si>
  <si>
    <t xml:space="preserve">All workers must have access to information and awareness training on the main health, safety and security risks related to their area and activity of work and on procedures to prevent and respond to health and safety incidents </t>
  </si>
  <si>
    <t xml:space="preserve">4.7.9 </t>
  </si>
  <si>
    <t>A first aid kit and trained person must be available in all areas of work</t>
  </si>
  <si>
    <t>4.7.10</t>
  </si>
  <si>
    <t>The organisation maintains a register of all work-related accidents, fatalities and illnesses</t>
  </si>
  <si>
    <t>4.7.11</t>
  </si>
  <si>
    <t>Mining operations have a mine evacuation and rescue plan</t>
  </si>
  <si>
    <t>Social responsibility</t>
  </si>
  <si>
    <t>5.1.1</t>
  </si>
  <si>
    <t xml:space="preserve">On the death of a worker or shareholder, heirs retain the shares and earnings held by the deceased </t>
  </si>
  <si>
    <t>5.1.2</t>
  </si>
  <si>
    <t>The organisation must assist workers to access social protection</t>
  </si>
  <si>
    <t>5.1.3</t>
  </si>
  <si>
    <t>In the absence of a national social security systems, workers affected by accidents or occupational disease receive adequate financial support</t>
  </si>
  <si>
    <t>5.1.4</t>
  </si>
  <si>
    <t xml:space="preserve">The organisation makes best efforts to ensure that women workers have access to childcare facilities </t>
  </si>
  <si>
    <t>5.1.5</t>
  </si>
  <si>
    <t>All workers must be included in a program of regular, voluntary medical checks, including care related to women's health</t>
  </si>
  <si>
    <t>Advanced III</t>
  </si>
  <si>
    <t>5.1.6</t>
  </si>
  <si>
    <t xml:space="preserve">The organisation collaborates with community groups to provide alternative economic activities </t>
  </si>
  <si>
    <t>5.1.7</t>
  </si>
  <si>
    <t>The organisation should seek to provide non-hazardous work to people with chronic, hepatic, renal or respiratory disease, or physical or mental disability</t>
  </si>
  <si>
    <t>5.2.1</t>
  </si>
  <si>
    <t>Where peoples are threatened with displacement by the organisation's activities, the organisation must conform to international best practice</t>
  </si>
  <si>
    <t>5.2.2</t>
  </si>
  <si>
    <t>The organisation has free, prior and informed consent from project-affected communities and indigenous people for its operation</t>
  </si>
  <si>
    <t>5.2.3</t>
  </si>
  <si>
    <t>The organisation and its management recognise and protect sites of special culture or religious significance to local communities if these lie within the organisation's boundary</t>
  </si>
  <si>
    <t>5.2.4</t>
  </si>
  <si>
    <t>The organisation should work with local authorities or other relevant parties to establish the main risks to communities living close to its activities and the vulnerability of these communities to accidents and disasters. An action plan should be established to address the main risks and vulnerabilities identified</t>
  </si>
  <si>
    <t>5.2.5</t>
  </si>
  <si>
    <t>The organisation should take measures to educate the local community about health and safety risks related to its activites</t>
  </si>
  <si>
    <t>Environmental Stewardship</t>
  </si>
  <si>
    <t>6.1.1</t>
  </si>
  <si>
    <t xml:space="preserve">Hazardous susbstances and contaminated tailings must not be discharged into water or where they can reach water bodies </t>
  </si>
  <si>
    <t>6.1.2</t>
  </si>
  <si>
    <t>The organisation must not use hazardous chemicals within 10 metres of ongoing human activity</t>
  </si>
  <si>
    <t>6.1.3</t>
  </si>
  <si>
    <t>Instruments and tools used for operations with a hazardous substance must not be used in any other domestic activity</t>
  </si>
  <si>
    <t>6.1.4</t>
  </si>
  <si>
    <t xml:space="preserve">Use, storage and disposal of hazardous chemicals must be planned for, using designated premises, proper equipment and trained personnel </t>
  </si>
  <si>
    <t>6.1.5</t>
  </si>
  <si>
    <t xml:space="preserve">Workers are trained in procedures for cleaning up spills of hazardous chemicals </t>
  </si>
  <si>
    <t>6.1.6</t>
  </si>
  <si>
    <t>Spills of hazardous substances are cleaned up as far as practicable</t>
  </si>
  <si>
    <t>6.1.7</t>
  </si>
  <si>
    <t xml:space="preserve">Explosives are handled only by persons holding a legally recognised blasting licence from, or accepted by, the national government </t>
  </si>
  <si>
    <t>6.1.8</t>
  </si>
  <si>
    <t xml:space="preserve">(AU only) the use of hazardous substances such as mercury and cyanide must be supervised by trained adults over 18 years of age and never pregnant or breastfeeding women or persons diagnosed with mental deficiencies or diseases of the gastrointestinal, urinary, nervous or respiratory systems </t>
  </si>
  <si>
    <t>6.1.9</t>
  </si>
  <si>
    <t>Disposal of tailings, chemical waste and wastewater must be properly planned and carried out by experienced persons</t>
  </si>
  <si>
    <t>6.2.1</t>
  </si>
  <si>
    <t>(AU only) a mercury-free concentration process precedes amalgamation to prevent whole ore amalgamation</t>
  </si>
  <si>
    <t>6.2.2</t>
  </si>
  <si>
    <t>(AU only) mercury amalgam burning must only be carried out in designated premises and not indoors or near urban, residential or recreational areas where people whitout protection may be affected (particularly pregnant woman, children and babies)</t>
  </si>
  <si>
    <t>6.2.3</t>
  </si>
  <si>
    <t>(AU only) retorts or alternative mercury recovery techniques must be used for decomposing amalgam</t>
  </si>
  <si>
    <t>6.2.4</t>
  </si>
  <si>
    <t>(AU only) if acid is used to purify gold, silver or other metals, pickling waste must be neutralised before disposal and procedures should be performed by trained personnel in a designated site</t>
  </si>
  <si>
    <t>6.2.5</t>
  </si>
  <si>
    <t>(AU only) acid must not be used for dissolving amalgam</t>
  </si>
  <si>
    <t xml:space="preserve">6.2.6 </t>
  </si>
  <si>
    <t>(AU only) the organisation has started trials with alternative processing methods to minimise and eliminate the use of mercury in the recovery of gold</t>
  </si>
  <si>
    <t>6.2.7</t>
  </si>
  <si>
    <t>(AU only) cyanide solutions and tailings must be detoxified in a lined pond or tank before discharge</t>
  </si>
  <si>
    <t>6.2.8</t>
  </si>
  <si>
    <t xml:space="preserve">(AU only) cyanide leaching of unprocessed amalgamated tailings is not permitted </t>
  </si>
  <si>
    <t>6.2.9</t>
  </si>
  <si>
    <t>(AU only) all gold is processed with alternative processing methods (i.e. al gold is mercury free)</t>
  </si>
  <si>
    <t>6.3.1</t>
  </si>
  <si>
    <t>The organisation must not operate in any area protected under national or international legislation unless expressly authorised by the conservation body</t>
  </si>
  <si>
    <t>6.3.2</t>
  </si>
  <si>
    <t>The organisation conducts an environmental impact assessment for its operation and puts in place mitigation measures where appropriate to limit damage</t>
  </si>
  <si>
    <t>6.3.3</t>
  </si>
  <si>
    <t xml:space="preserve">The environmental impact of new technology is assessed prior to procurement and, as far as is viable, the most environmentally sensitive technology used </t>
  </si>
  <si>
    <t>6.3.4</t>
  </si>
  <si>
    <t xml:space="preserve"> A committee in charge of decision-making and implementing actions on environmental development for the whole operational area must be established </t>
  </si>
  <si>
    <t>6.3.5</t>
  </si>
  <si>
    <t>Open pits and underground mine apertures must be refilled or blocked immediately after the termination of extractive actvities to enable ecological regeneration and ensure hazard prevention</t>
  </si>
  <si>
    <t>6.3.6</t>
  </si>
  <si>
    <t>Where mining could lead to acid mine drainage (AMD), effective methods to isolate acid-forming materials from water are employed as far as is practicable</t>
  </si>
  <si>
    <t>6.3.7</t>
  </si>
  <si>
    <t>Dust release from the organisation's activities is minimised as far as reasonably practicable</t>
  </si>
  <si>
    <t>6.3.8</t>
  </si>
  <si>
    <t>CO2 production from the organisation's activities is minimised as far as reasonably practicable</t>
  </si>
  <si>
    <t>6.3.9</t>
  </si>
  <si>
    <t>Wastewater production from the organisation's activities is minimised</t>
  </si>
  <si>
    <t>6.4.1</t>
  </si>
  <si>
    <t>The organisation puts effective steps in place to prevent drainage of the local water table in areas of high vegetation value, aand water is conserved where drought is likely</t>
  </si>
  <si>
    <t>6.4.2</t>
  </si>
  <si>
    <t xml:space="preserve">Excavated areas must be rehabilitated through topographic restoration as appropriate for the ecosystem or intended use </t>
  </si>
  <si>
    <t>6.4.3</t>
  </si>
  <si>
    <t>Areas which have been cleared for the organisation's activities must be re-vegetated as appropriate for the ecosystem or restored in accordance with land planning priorities of local communities authorities</t>
  </si>
  <si>
    <t>6.4.4</t>
  </si>
  <si>
    <t xml:space="preserve">The organisation must report on the water sources used for its activities </t>
  </si>
  <si>
    <t>6.4.5</t>
  </si>
  <si>
    <t xml:space="preserve">The organisation must monitor and record the quantity and quality of local water sources to identify points of criticality in their use </t>
  </si>
  <si>
    <t>6.4.6</t>
  </si>
  <si>
    <t>Timber used in the organisation's activities must be sourced from sustainable forestry programs</t>
  </si>
  <si>
    <t>Gobal</t>
  </si>
  <si>
    <t>Social Responsibility</t>
  </si>
  <si>
    <t>Partially Meets</t>
  </si>
  <si>
    <t>Blanks</t>
  </si>
  <si>
    <t>Not Applicable</t>
  </si>
  <si>
    <t>Sum</t>
  </si>
  <si>
    <t>Advanced</t>
  </si>
  <si>
    <t>Kenya</t>
  </si>
  <si>
    <t>Uganda</t>
  </si>
  <si>
    <t>Tanzania</t>
  </si>
  <si>
    <t>(All)</t>
  </si>
  <si>
    <t>Column Labels</t>
  </si>
  <si>
    <t>Row Labels</t>
  </si>
  <si>
    <t>Grand Total</t>
  </si>
  <si>
    <t>(blank)</t>
  </si>
  <si>
    <t>Count of Performance Determination</t>
  </si>
  <si>
    <t>Meets %</t>
  </si>
  <si>
    <t>Meets%</t>
  </si>
  <si>
    <t>Sample of Evidence</t>
  </si>
  <si>
    <t>Receipts for royalty payment</t>
  </si>
  <si>
    <t xml:space="preserve"> Official document or letter to prove the right to
 operate on land / signed statement by landowner  </t>
  </si>
  <si>
    <t xml:space="preserve">Visual and anecdotal examples 
/ training attendance list </t>
  </si>
  <si>
    <t xml:space="preserve">Workers registry </t>
  </si>
  <si>
    <t xml:space="preserve">Bank receipts </t>
  </si>
  <si>
    <t>Labels on product</t>
  </si>
  <si>
    <t>Interview summaries</t>
  </si>
  <si>
    <t>Organisational budget</t>
  </si>
  <si>
    <t xml:space="preserve">Asset registry </t>
  </si>
  <si>
    <t xml:space="preserve">Full and inclusive records of all petty cash kept
 and spent / petty cash </t>
  </si>
  <si>
    <t xml:space="preserve">Business plan / cash flow projection
 / interview summaries </t>
  </si>
  <si>
    <t xml:space="preserve">Worker registry / interview summaries
 / employment contracts </t>
  </si>
  <si>
    <t xml:space="preserve">Written discrimination policy /
 interview summaries </t>
  </si>
  <si>
    <t xml:space="preserve">Written policy / description of mechanism 
/ interview summaries </t>
  </si>
  <si>
    <t xml:space="preserve">Employment contracts / interview summaries
 / gender policy / index of leadership   </t>
  </si>
  <si>
    <t xml:space="preserve">Written policy on gender-based violence
 / interview summaries </t>
  </si>
  <si>
    <t xml:space="preserve">Record of wages </t>
  </si>
  <si>
    <t xml:space="preserve">Record of working hours </t>
  </si>
  <si>
    <t xml:space="preserve">Record of deductions </t>
  </si>
  <si>
    <t xml:space="preserve">Employment contracts </t>
  </si>
  <si>
    <t xml:space="preserve">Documentation of accommodation / 
photographs / interview summaries </t>
  </si>
  <si>
    <t xml:space="preserve"> Interview summaries </t>
  </si>
  <si>
    <t xml:space="preserve">Interview summaries / weekly reports
 on-site health and safety risks </t>
  </si>
  <si>
    <t xml:space="preserve">Photographs </t>
  </si>
  <si>
    <t xml:space="preserve">First aid kit / interview summaries
 / first responder schedule </t>
  </si>
  <si>
    <t xml:space="preserve">Written policy / worker registry /
 list of preferred beneficiaries </t>
  </si>
  <si>
    <t xml:space="preserve">Interview summaries / record 
of payments for social protection </t>
  </si>
  <si>
    <t xml:space="preserve">Register of medical records /
 interview summaries </t>
  </si>
  <si>
    <t xml:space="preserve"> Document (including a brief description of 
the assistance provided) / interview summaries </t>
  </si>
  <si>
    <t xml:space="preserve">Interview summaries / policies /
 written documentation </t>
  </si>
  <si>
    <t xml:space="preserve"> Indigenous peoples policy / legal registry / stakeholder map / social, environmental and cultural impact assessment / signed agreement / 
grievance mechanism / schedule of meetings held  </t>
  </si>
  <si>
    <t xml:space="preserve">Interview summaries / 
results of scoping study </t>
  </si>
  <si>
    <t xml:space="preserve">Waste management system / storage system with sufficient capacity and permanence / environmental management plan </t>
  </si>
  <si>
    <t xml:space="preserve">Original certificate / copy with person’s name </t>
  </si>
  <si>
    <t>Signed register of attendance at training workshops / test papers 
completed in the trainee’s handwriting</t>
  </si>
  <si>
    <t>Paper copy of the organisation’s procedure for cleaning up spills of hazardous substances / interview summaries</t>
  </si>
  <si>
    <t>Register of attendance of training workshops / test papers</t>
  </si>
  <si>
    <t>Paper-based plan and procedure for the safe and proper disposal of chemicals, tailings and wastewater / signature, data and address of the consultancy service provider / signed register of attendance at training workshop</t>
  </si>
  <si>
    <t xml:space="preserve"> Labelled containers, basins and other implements </t>
  </si>
  <si>
    <t xml:space="preserve"> Photographs </t>
  </si>
  <si>
    <t xml:space="preserve">Waste management system / environmental management plan including a plan for the disposal
 of waste / signature, date and address of the consultancy service provider </t>
  </si>
  <si>
    <t xml:space="preserve">Observation </t>
  </si>
  <si>
    <t xml:space="preserve">Photographs of processes and equipment used to demonstrate alternate 
mercury recovery techniques / interview summaries </t>
  </si>
  <si>
    <t xml:space="preserve">Site visit, signed register of attendance to the appropriate workshop for personnel handling
 nitric acid substances. Photo evidence on site of neutralising and disposal process. </t>
  </si>
  <si>
    <t xml:space="preserve">Visual observation
 and interview </t>
  </si>
  <si>
    <t xml:space="preserve">Photographs of appropriately located, fenced and secured tailings pond or tank
 including evidence of process / Presence of chemical treatment materials </t>
  </si>
  <si>
    <t xml:space="preserve">Photographs / interview summaries / presence
 or absence of mercury </t>
  </si>
  <si>
    <t xml:space="preserve">Photographs of mercury alternatives
 / interview summaries </t>
  </si>
  <si>
    <t xml:space="preserve">Online maps / official letter from the
 governing or conservation body </t>
  </si>
  <si>
    <t xml:space="preserve">Photographs / written procedures
 / training programs </t>
  </si>
  <si>
    <t xml:space="preserve"> Photographic or physical evidence / written procedures 
/ training programs / paper-based assessment </t>
  </si>
  <si>
    <t xml:space="preserve"> Interview summaries / quarterly reports on the operation’s 
environmental risks and opportunities </t>
  </si>
  <si>
    <t xml:space="preserve"> Paper-based plan and procedure to construct barriers and 
seal off underground workings once mining has ceased</t>
  </si>
  <si>
    <t>Paper-based plan and procedure to reduce
 acid rock drainage, litmus paper (or other) tests</t>
  </si>
  <si>
    <t>Fine water sprays / surrounding 
trees or vegetation</t>
  </si>
  <si>
    <t xml:space="preserve">Solar energy / 
fuel efficient machinery </t>
  </si>
  <si>
    <t>Photographs /
 interview summarie</t>
  </si>
  <si>
    <t xml:space="preserve">Equipment / methods with a low 
water demand </t>
  </si>
  <si>
    <t xml:space="preserve">Photographs  </t>
  </si>
  <si>
    <t xml:space="preserve"> Record of water sources </t>
  </si>
  <si>
    <t xml:space="preserve"> Maps / records </t>
  </si>
  <si>
    <t xml:space="preserve">Official certification of the timber’s 
sustainable source (e.g. FSC logo) </t>
  </si>
  <si>
    <t xml:space="preserve">Interview summaries </t>
  </si>
  <si>
    <t>Evidence Type</t>
  </si>
  <si>
    <t>Physical or electronic copies of formal registration papers / interview summaries</t>
  </si>
  <si>
    <t>Certificate or letter of registration</t>
  </si>
  <si>
    <t>List of all Management, Investors and Buyers / Written confirmation that background checks have been conducted for all people listed</t>
  </si>
  <si>
    <t>Financial records / receipts for royalty payment / confirmation of tax payments</t>
  </si>
  <si>
    <t xml:space="preserve">All applicable permits and licences for the activities  of the mine’s operation </t>
  </si>
  <si>
    <t xml:space="preserve">Environmental permits and licenses / proof of environmental assessment  / environmental management plan </t>
  </si>
  <si>
    <t xml:space="preserve">Registry of business or trading partners including photographic evidence / copies of official traders’ certificates / letters  </t>
  </si>
  <si>
    <t xml:space="preserve">Interview summaries / visibility of armed personnel at the operation </t>
  </si>
  <si>
    <t xml:space="preserve">Interview summaries / results of scoping study </t>
  </si>
  <si>
    <t xml:space="preserve">Interview summaries / display information in work places </t>
  </si>
  <si>
    <t xml:space="preserve">Interview summaries / organigram / index of leadership </t>
  </si>
  <si>
    <t xml:space="preserve">Index of owners &amp; investors / investor contracts / interview summaries </t>
  </si>
  <si>
    <t xml:space="preserve"> Interview summaries / written policy </t>
  </si>
  <si>
    <t xml:space="preserve">Written anti-corruption policy / interview summaries / expense record analysis </t>
  </si>
  <si>
    <t>Bank details / bank statements</t>
  </si>
  <si>
    <t xml:space="preserve">Description of procedure chosen / photograph of system / interview summaries </t>
  </si>
  <si>
    <t xml:space="preserve">Sales records / interview summaries </t>
  </si>
  <si>
    <t xml:space="preserve">Records of revenue and expenses </t>
  </si>
  <si>
    <t xml:space="preserve"> Records of revenue and expenses </t>
  </si>
  <si>
    <t xml:space="preserve">Paper-based budget for following six months </t>
  </si>
  <si>
    <t>Risk analysis / interview summaries</t>
  </si>
  <si>
    <t xml:space="preserve">Interview summaries / business plan </t>
  </si>
  <si>
    <t xml:space="preserve">Employment contracts / hiring policy / interview summaries </t>
  </si>
  <si>
    <t xml:space="preserve">Employment contracts / identification documents (e.g. passports) / worker registry / photos / school attendance register / interview summaries </t>
  </si>
  <si>
    <t xml:space="preserve">Interview summaries / written policy </t>
  </si>
  <si>
    <t xml:space="preserve">Existing meeting area / interview summaries </t>
  </si>
  <si>
    <t xml:space="preserve">Wage slips / financial records / interview summaries </t>
  </si>
  <si>
    <t xml:space="preserve">Record of the dates of payment </t>
  </si>
  <si>
    <t xml:space="preserve">Record of wages / interview summaries </t>
  </si>
  <si>
    <t xml:space="preserve"> Employment contracts / interview summaries  </t>
  </si>
  <si>
    <t xml:space="preserve">OHS Policy / interview summaries </t>
  </si>
  <si>
    <t xml:space="preserve">Interview summaries / existing rock support / photographs </t>
  </si>
  <si>
    <t xml:space="preserve">Potable water / designated toilets </t>
  </si>
  <si>
    <t xml:space="preserve"> Obswervation of adequate ventilation </t>
  </si>
  <si>
    <t xml:space="preserve">Register of attendance / training materials </t>
  </si>
  <si>
    <t xml:space="preserve">Work-related accidents register </t>
  </si>
  <si>
    <t xml:space="preserve">Mine evacuation and rescue plan </t>
  </si>
  <si>
    <t xml:space="preserve">Risk assessment / action plan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</si>
</sst>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1" x14ac:knownFonts="1">
    <font>
      <sz val="12"/>
      <color theme="1"/>
      <name val="Calibri"/>
      <family val="2"/>
      <scheme val="minor"/>
    </font>
    <font>
      <sz val="12"/>
      <color theme="1"/>
      <name val="Calibri"/>
      <family val="2"/>
    </font>
    <font>
      <sz val="12"/>
      <color theme="0"/>
      <name val="Calibri"/>
      <family val="2"/>
      <scheme val="minor"/>
    </font>
    <font>
      <sz val="12"/>
      <color theme="1"/>
      <name val="Calibri Light"/>
      <family val="2"/>
      <scheme val="major"/>
    </font>
    <font>
      <b/>
      <sz val="12"/>
      <color theme="1"/>
      <name val="Calibri Light"/>
      <family val="2"/>
      <scheme val="major"/>
    </font>
    <font>
      <i/>
      <sz val="12"/>
      <color theme="1"/>
      <name val="Calibri"/>
      <family val="2"/>
    </font>
    <font>
      <i/>
      <sz val="12"/>
      <color theme="1"/>
      <name val="Calibri"/>
      <family val="2"/>
      <scheme val="minor"/>
    </font>
    <font>
      <b/>
      <sz val="15"/>
      <color theme="3"/>
      <name val="Calibri"/>
      <family val="2"/>
      <scheme val="minor"/>
    </font>
    <font>
      <u/>
      <sz val="12"/>
      <color theme="10"/>
      <name val="Calibri"/>
      <family val="2"/>
      <scheme val="minor"/>
    </font>
    <font>
      <b/>
      <sz val="12"/>
      <color rgb="FFC00000"/>
      <name val="Calibri"/>
      <family val="2"/>
      <scheme val="minor"/>
    </font>
    <font>
      <sz val="12"/>
      <color theme="1"/>
      <name val="Calibri"/>
      <family val="2"/>
      <scheme val="minor"/>
    </font>
  </fonts>
  <fills count="5">
    <fill>
      <patternFill patternType="none"/>
    </fill>
    <fill>
      <patternFill patternType="gray125"/>
    </fill>
    <fill>
      <patternFill patternType="solid">
        <fgColor rgb="FFC08B2E"/>
        <bgColor indexed="64"/>
      </patternFill>
    </fill>
    <fill>
      <patternFill patternType="solid">
        <fgColor rgb="FFA21B41"/>
        <bgColor indexed="64"/>
      </patternFill>
    </fill>
    <fill>
      <patternFill patternType="solid">
        <fgColor rgb="FF17496A"/>
        <bgColor indexed="64"/>
      </patternFill>
    </fill>
  </fills>
  <borders count="4">
    <border>
      <left/>
      <right/>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7" fillId="0" borderId="1" applyNumberFormat="0" applyFill="0" applyAlignment="0" applyProtection="0"/>
    <xf numFmtId="0" fontId="8" fillId="0" borderId="0" applyNumberFormat="0" applyFill="0" applyBorder="0" applyAlignment="0" applyProtection="0"/>
    <xf numFmtId="9" fontId="10" fillId="0" borderId="0" applyFont="0" applyFill="0" applyBorder="0" applyAlignment="0" applyProtection="0"/>
  </cellStyleXfs>
  <cellXfs count="37">
    <xf numFmtId="0" fontId="0" fillId="0" borderId="0" xfId="0"/>
    <xf numFmtId="0" fontId="1" fillId="0" borderId="0" xfId="0" applyFont="1"/>
    <xf numFmtId="0" fontId="0" fillId="0" borderId="0" xfId="0" applyFont="1"/>
    <xf numFmtId="0" fontId="0" fillId="0" borderId="0" xfId="0" applyAlignment="1">
      <alignment horizontal="center" vertical="center" wrapText="1"/>
    </xf>
    <xf numFmtId="0" fontId="1" fillId="0" borderId="0" xfId="0" applyFont="1" applyAlignment="1">
      <alignment horizontal="center" vertical="center" wrapText="1"/>
    </xf>
    <xf numFmtId="0" fontId="0" fillId="0" borderId="2" xfId="0" applyBorder="1"/>
    <xf numFmtId="0" fontId="8" fillId="0" borderId="0" xfId="2"/>
    <xf numFmtId="0" fontId="0" fillId="0" borderId="0" xfId="0" applyBorder="1"/>
    <xf numFmtId="0" fontId="0" fillId="0" borderId="0" xfId="0" applyBorder="1" applyAlignment="1">
      <alignment vertical="center"/>
    </xf>
    <xf numFmtId="0" fontId="7" fillId="0" borderId="2" xfId="1" applyBorder="1" applyAlignment="1">
      <alignment horizontal="center" vertical="center"/>
    </xf>
    <xf numFmtId="0" fontId="1" fillId="0" borderId="0" xfId="0" applyFont="1" applyProtection="1">
      <protection locked="0"/>
    </xf>
    <xf numFmtId="0" fontId="5" fillId="0" borderId="0" xfId="0" applyFont="1" applyProtection="1">
      <protection locked="0"/>
    </xf>
    <xf numFmtId="0" fontId="0" fillId="0" borderId="0" xfId="0" applyAlignment="1">
      <alignment horizontal="left"/>
    </xf>
    <xf numFmtId="0" fontId="0" fillId="0" borderId="0" xfId="0" pivotButton="1"/>
    <xf numFmtId="0" fontId="0" fillId="0" borderId="0" xfId="0" applyNumberFormat="1"/>
    <xf numFmtId="0" fontId="0" fillId="0" borderId="2" xfId="0" applyFill="1" applyBorder="1"/>
    <xf numFmtId="9" fontId="0" fillId="0" borderId="2" xfId="3" applyFont="1" applyBorder="1"/>
    <xf numFmtId="0" fontId="0" fillId="0" borderId="3" xfId="0" applyFill="1" applyBorder="1"/>
    <xf numFmtId="0" fontId="0" fillId="0" borderId="0" xfId="0" applyProtection="1">
      <protection locked="0"/>
    </xf>
    <xf numFmtId="14" fontId="6" fillId="0" borderId="0" xfId="0" applyNumberFormat="1" applyFont="1" applyProtection="1">
      <protection locked="0"/>
    </xf>
    <xf numFmtId="0" fontId="0" fillId="0" borderId="0" xfId="0" applyProtection="1"/>
    <xf numFmtId="0" fontId="9" fillId="0" borderId="0" xfId="0" applyFont="1" applyBorder="1" applyAlignment="1">
      <alignment horizontal="center"/>
    </xf>
    <xf numFmtId="0" fontId="7" fillId="0" borderId="0" xfId="1" applyBorder="1" applyAlignment="1">
      <alignment horizontal="center" vertical="center"/>
    </xf>
    <xf numFmtId="0" fontId="7" fillId="0" borderId="1" xfId="1" applyAlignment="1">
      <alignment horizontal="center" vertical="center"/>
    </xf>
    <xf numFmtId="0" fontId="0" fillId="0" borderId="0" xfId="0" applyBorder="1" applyAlignment="1">
      <alignment horizontal="center"/>
    </xf>
    <xf numFmtId="0" fontId="0" fillId="0" borderId="0" xfId="0" applyBorder="1" applyAlignment="1">
      <alignment horizontal="center" vertical="center"/>
    </xf>
    <xf numFmtId="0" fontId="2" fillId="3" borderId="0" xfId="0" applyFont="1" applyFill="1" applyBorder="1" applyAlignment="1" applyProtection="1">
      <alignment horizontal="center" vertical="center"/>
    </xf>
    <xf numFmtId="0" fontId="2" fillId="4"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protection locked="0"/>
    </xf>
    <xf numFmtId="164" fontId="3" fillId="0" borderId="0" xfId="0" applyNumberFormat="1" applyFont="1" applyFill="1" applyBorder="1" applyAlignment="1" applyProtection="1">
      <alignment horizontal="left" vertical="center"/>
      <protection locked="0"/>
    </xf>
    <xf numFmtId="164" fontId="3" fillId="0" borderId="0" xfId="0" applyNumberFormat="1"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8" fillId="0" borderId="0" xfId="2" applyFill="1" applyBorder="1" applyAlignment="1" applyProtection="1">
      <alignment horizontal="left" vertical="center"/>
      <protection locked="0"/>
    </xf>
    <xf numFmtId="0" fontId="2" fillId="2" borderId="0" xfId="0" applyFont="1" applyFill="1" applyBorder="1" applyAlignment="1" applyProtection="1">
      <alignment horizontal="center" vertical="center"/>
    </xf>
  </cellXfs>
  <cellStyles count="4">
    <cellStyle name="Heading 1" xfId="1" builtinId="16"/>
    <cellStyle name="Hyperlink" xfId="2" builtinId="8"/>
    <cellStyle name="Normal" xfId="0" builtinId="0"/>
    <cellStyle name="Per cent" xfId="3" builtinId="5"/>
  </cellStyles>
  <dxfs count="16">
    <dxf>
      <font>
        <strike val="0"/>
        <outline val="0"/>
        <shadow val="0"/>
        <u val="none"/>
        <vertAlign val="baseline"/>
        <sz val="12"/>
        <color theme="1"/>
        <name val="Calibri Light"/>
        <family val="2"/>
        <scheme val="maj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2"/>
        <color theme="1"/>
        <name val="Calibri Light"/>
        <family val="2"/>
        <scheme val="major"/>
      </font>
      <fill>
        <patternFill patternType="none">
          <fgColor indexed="64"/>
          <bgColor auto="1"/>
        </patternFill>
      </fill>
      <alignment horizontal="left" vertical="center" textRotation="0" wrapText="0" indent="0" justifyLastLine="0" shrinkToFit="0" readingOrder="0"/>
      <protection hidden="0"/>
    </dxf>
    <dxf>
      <font>
        <strike val="0"/>
        <outline val="0"/>
        <shadow val="0"/>
        <u val="none"/>
        <vertAlign val="baseline"/>
        <sz val="12"/>
        <color theme="1"/>
        <name val="Calibri Light"/>
        <family val="2"/>
        <scheme val="major"/>
      </font>
      <fill>
        <patternFill patternType="none">
          <fgColor indexed="64"/>
          <bgColor auto="1"/>
        </patternFill>
      </fill>
      <alignment horizontal="left" vertical="center" textRotation="0" indent="0" justifyLastLine="0" shrinkToFit="0" readingOrder="0"/>
      <protection locked="0" hidden="0"/>
    </dxf>
    <dxf>
      <font>
        <strike val="0"/>
        <outline val="0"/>
        <shadow val="0"/>
        <u val="none"/>
        <vertAlign val="baseline"/>
        <sz val="12"/>
        <color theme="1"/>
        <name val="Calibri Light"/>
        <family val="2"/>
        <scheme val="major"/>
      </font>
      <fill>
        <patternFill patternType="none">
          <fgColor indexed="64"/>
          <bgColor auto="1"/>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2"/>
        <color theme="1"/>
        <name val="Calibri Light"/>
        <family val="2"/>
        <scheme val="major"/>
      </font>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2"/>
        <color theme="1"/>
        <name val="Calibri Light"/>
        <family val="2"/>
        <scheme val="maj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Light"/>
        <family val="2"/>
        <scheme val="major"/>
      </font>
      <numFmt numFmtId="164" formatCode="dd/mm/yyyy;@"/>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sz val="12"/>
        <color theme="1"/>
        <name val="Calibri Light"/>
        <family val="2"/>
        <scheme val="major"/>
      </font>
      <numFmt numFmtId="164" formatCode="dd/mm/yyyy;@"/>
      <fill>
        <patternFill patternType="none">
          <fgColor indexed="64"/>
          <bgColor auto="1"/>
        </patternFill>
      </fill>
      <alignment horizontal="left" vertical="center" textRotation="0" indent="0" justifyLastLine="0" shrinkToFit="0" readingOrder="0"/>
      <protection locked="0" hidden="0"/>
    </dxf>
    <dxf>
      <font>
        <strike val="0"/>
        <outline val="0"/>
        <shadow val="0"/>
        <u val="none"/>
        <vertAlign val="baseline"/>
        <sz val="12"/>
        <color theme="1"/>
        <name val="Calibri Light"/>
        <family val="2"/>
        <scheme val="major"/>
      </font>
      <fill>
        <patternFill patternType="none">
          <fgColor indexed="64"/>
          <bgColor auto="1"/>
        </patternFill>
      </fill>
      <alignment horizontal="left" vertical="center" textRotation="0" indent="0" justifyLastLine="0" shrinkToFit="0" readingOrder="0"/>
      <protection locked="0" hidden="0"/>
    </dxf>
    <dxf>
      <font>
        <strike val="0"/>
        <outline val="0"/>
        <shadow val="0"/>
        <u val="none"/>
        <vertAlign val="baseline"/>
        <sz val="12"/>
        <color theme="1"/>
        <name val="Calibri Light"/>
        <family val="2"/>
        <scheme val="major"/>
      </font>
      <fill>
        <patternFill patternType="none">
          <fgColor indexed="64"/>
          <bgColor auto="1"/>
        </patternFill>
      </fill>
      <alignment horizontal="left" vertical="center" textRotation="0" indent="0" justifyLastLine="0" shrinkToFit="0" readingOrder="0"/>
      <protection locked="0" hidden="0"/>
    </dxf>
    <dxf>
      <font>
        <b val="0"/>
        <strike val="0"/>
        <outline val="0"/>
        <shadow val="0"/>
        <u val="none"/>
        <vertAlign val="baseline"/>
        <sz val="12"/>
        <color theme="0"/>
        <name val="Calibri"/>
        <family val="2"/>
        <scheme val="minor"/>
      </font>
      <fill>
        <patternFill patternType="none">
          <fgColor indexed="64"/>
          <bgColor auto="1"/>
        </patternFill>
      </fill>
      <alignment horizontal="center" vertical="center" textRotation="0" wrapText="0" indent="0" justifyLastLine="0" shrinkToFit="0" readingOrder="0"/>
      <protection hidden="0"/>
    </dxf>
    <dxf>
      <font>
        <b/>
        <i val="0"/>
        <strike val="0"/>
        <condense val="0"/>
        <extend val="0"/>
        <outline val="0"/>
        <shadow val="0"/>
        <u val="none"/>
        <vertAlign val="baseline"/>
        <sz val="12"/>
        <color theme="1"/>
        <name val="Calibri Light"/>
        <family val="2"/>
        <scheme val="major"/>
      </font>
      <fill>
        <patternFill patternType="none">
          <fgColor indexed="64"/>
          <bgColor auto="1"/>
        </patternFill>
      </fill>
      <alignment horizontal="left" vertical="center" textRotation="0" wrapText="1" indent="0" justifyLastLine="0" shrinkToFit="0" readingOrder="0"/>
      <protection hidden="0"/>
    </dxf>
    <dxf>
      <font>
        <strike val="0"/>
        <outline val="0"/>
        <shadow val="0"/>
        <u val="none"/>
        <vertAlign val="baseline"/>
        <sz val="12"/>
        <color theme="1"/>
        <name val="Calibri Light"/>
        <family val="2"/>
        <scheme val="major"/>
      </font>
      <fill>
        <patternFill patternType="none">
          <fgColor indexed="64"/>
          <bgColor auto="1"/>
        </patternFill>
      </fill>
      <alignment horizontal="left" vertical="center" textRotation="0" indent="0" justifyLastLine="0" shrinkToFit="0" readingOrder="0"/>
      <protection hidden="0"/>
    </dxf>
    <dxf>
      <font>
        <strike val="0"/>
        <outline val="0"/>
        <shadow val="0"/>
        <u val="none"/>
        <vertAlign val="baseline"/>
        <sz val="12"/>
        <color theme="1"/>
        <name val="Calibri Light"/>
        <family val="2"/>
        <scheme val="major"/>
      </font>
      <fill>
        <patternFill patternType="none">
          <fgColor indexed="64"/>
          <bgColor auto="1"/>
        </patternFill>
      </fill>
      <alignment horizontal="left" vertical="center" textRotation="0" indent="0" justifyLastLine="0" shrinkToFit="0" readingOrder="0"/>
      <protection hidden="0"/>
    </dxf>
    <dxf>
      <protection locked="0"/>
    </dxf>
    <dxf>
      <alignment horizontal="center" vertical="center" textRotation="0" wrapText="1" indent="0" justifyLastLine="0" shrinkToFit="0" readingOrder="0"/>
    </dxf>
  </dxfs>
  <tableStyles count="0" defaultTableStyle="TableStyleMedium2" defaultPivotStyle="PivotStyleLight16"/>
  <colors>
    <mruColors>
      <color rgb="FFC08B2E"/>
      <color rgb="FF17496A"/>
      <color rgb="FFA21B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a:t>Basic Criteria</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Stats!$C$2</c:f>
              <c:strCache>
                <c:ptCount val="1"/>
                <c:pt idx="0">
                  <c:v>Gobal</c:v>
                </c:pt>
              </c:strCache>
            </c:strRef>
          </c:tx>
          <c:dPt>
            <c:idx val="0"/>
            <c:bubble3D val="0"/>
            <c:spPr>
              <a:solidFill>
                <a:schemeClr val="accent6">
                  <a:lumMod val="75000"/>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5960-FE48-9A27-2208218B14CC}"/>
              </c:ext>
            </c:extLst>
          </c:dPt>
          <c:dPt>
            <c:idx val="1"/>
            <c:bubble3D val="0"/>
            <c:spPr>
              <a:solidFill>
                <a:schemeClr val="accent6">
                  <a:lumMod val="60000"/>
                  <a:lumOff val="40000"/>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5960-FE48-9A27-2208218B14CC}"/>
              </c:ext>
            </c:extLst>
          </c:dPt>
          <c:dPt>
            <c:idx val="2"/>
            <c:bubble3D val="0"/>
            <c:spPr>
              <a:solidFill>
                <a:srgbClr val="FF0000">
                  <a:alpha val="90000"/>
                </a:srgb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5960-FE48-9A27-2208218B14CC}"/>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5960-FE48-9A27-2208218B14CC}"/>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5960-FE48-9A27-2208218B14CC}"/>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1-5960-FE48-9A27-2208218B14CC}"/>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3-5960-FE48-9A27-2208218B14CC}"/>
                </c:ext>
              </c:extLst>
            </c:dLbl>
            <c:dLbl>
              <c:idx val="2"/>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5-5960-FE48-9A27-2208218B14CC}"/>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7-5960-FE48-9A27-2208218B14CC}"/>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9-5960-FE48-9A27-2208218B14CC}"/>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dLblPos val="inEnd"/>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Stats!$B$3:$B$7</c:f>
              <c:strCache>
                <c:ptCount val="5"/>
                <c:pt idx="0">
                  <c:v>Meets</c:v>
                </c:pt>
                <c:pt idx="1">
                  <c:v>Partially Meets</c:v>
                </c:pt>
                <c:pt idx="2">
                  <c:v>Misses</c:v>
                </c:pt>
                <c:pt idx="3">
                  <c:v>Blanks</c:v>
                </c:pt>
                <c:pt idx="4">
                  <c:v>Not Applicable</c:v>
                </c:pt>
              </c:strCache>
            </c:strRef>
          </c:cat>
          <c:val>
            <c:numRef>
              <c:f>Stats!$C$3:$C$7</c:f>
              <c:numCache>
                <c:formatCode>General</c:formatCode>
                <c:ptCount val="5"/>
                <c:pt idx="0">
                  <c:v>0</c:v>
                </c:pt>
                <c:pt idx="1">
                  <c:v>0</c:v>
                </c:pt>
                <c:pt idx="2">
                  <c:v>0</c:v>
                </c:pt>
                <c:pt idx="3">
                  <c:v>28</c:v>
                </c:pt>
                <c:pt idx="4">
                  <c:v>0</c:v>
                </c:pt>
              </c:numCache>
            </c:numRef>
          </c:val>
          <c:extLst>
            <c:ext xmlns:c16="http://schemas.microsoft.com/office/drawing/2014/chart" uri="{C3380CC4-5D6E-409C-BE32-E72D297353CC}">
              <c16:uniqueId val="{0000000A-5960-FE48-9A27-2208218B14CC}"/>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GB"/>
              <a:t>Intermediate Criteria</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Stats!$C$11</c:f>
              <c:strCache>
                <c:ptCount val="1"/>
                <c:pt idx="0">
                  <c:v>Gobal</c:v>
                </c:pt>
              </c:strCache>
            </c:strRef>
          </c:tx>
          <c:dPt>
            <c:idx val="0"/>
            <c:bubble3D val="0"/>
            <c:spPr>
              <a:solidFill>
                <a:schemeClr val="accent6">
                  <a:lumMod val="75000"/>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C8E6-D64C-B989-2AD747F0CE99}"/>
              </c:ext>
            </c:extLst>
          </c:dPt>
          <c:dPt>
            <c:idx val="1"/>
            <c:bubble3D val="0"/>
            <c:spPr>
              <a:solidFill>
                <a:schemeClr val="accent6">
                  <a:lumMod val="60000"/>
                  <a:lumOff val="40000"/>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C8E6-D64C-B989-2AD747F0CE99}"/>
              </c:ext>
            </c:extLst>
          </c:dPt>
          <c:dPt>
            <c:idx val="2"/>
            <c:bubble3D val="0"/>
            <c:spPr>
              <a:solidFill>
                <a:srgbClr val="C08B2E">
                  <a:alpha val="90000"/>
                </a:srgb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C8E6-D64C-B989-2AD747F0CE99}"/>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C8E6-D64C-B989-2AD747F0CE99}"/>
              </c:ext>
            </c:extLst>
          </c:dPt>
          <c:dPt>
            <c:idx val="4"/>
            <c:bubble3D val="0"/>
            <c:spPr>
              <a:solidFill>
                <a:schemeClr val="bg1">
                  <a:lumMod val="85000"/>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C8E6-D64C-B989-2AD747F0CE99}"/>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1-C8E6-D64C-B989-2AD747F0CE99}"/>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3-C8E6-D64C-B989-2AD747F0CE99}"/>
                </c:ext>
              </c:extLst>
            </c:dLbl>
            <c:dLbl>
              <c:idx val="2"/>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5-C8E6-D64C-B989-2AD747F0CE99}"/>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7-C8E6-D64C-B989-2AD747F0CE99}"/>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9-C8E6-D64C-B989-2AD747F0CE99}"/>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dLblPos val="inEnd"/>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Stats!$B$12:$B$16</c:f>
              <c:strCache>
                <c:ptCount val="5"/>
                <c:pt idx="0">
                  <c:v>Meets</c:v>
                </c:pt>
                <c:pt idx="1">
                  <c:v>Partially Meets</c:v>
                </c:pt>
                <c:pt idx="2">
                  <c:v>Misses</c:v>
                </c:pt>
                <c:pt idx="3">
                  <c:v>Blanks</c:v>
                </c:pt>
                <c:pt idx="4">
                  <c:v>Not Applicable</c:v>
                </c:pt>
              </c:strCache>
            </c:strRef>
          </c:cat>
          <c:val>
            <c:numRef>
              <c:f>Stats!$C$12:$C$16</c:f>
              <c:numCache>
                <c:formatCode>General</c:formatCode>
                <c:ptCount val="5"/>
                <c:pt idx="0">
                  <c:v>0</c:v>
                </c:pt>
                <c:pt idx="1">
                  <c:v>0</c:v>
                </c:pt>
                <c:pt idx="2">
                  <c:v>0</c:v>
                </c:pt>
                <c:pt idx="3">
                  <c:v>35</c:v>
                </c:pt>
                <c:pt idx="4">
                  <c:v>0</c:v>
                </c:pt>
              </c:numCache>
            </c:numRef>
          </c:val>
          <c:extLst>
            <c:ext xmlns:c16="http://schemas.microsoft.com/office/drawing/2014/chart" uri="{C3380CC4-5D6E-409C-BE32-E72D297353CC}">
              <c16:uniqueId val="{0000000A-C8E6-D64C-B989-2AD747F0CE99}"/>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GB"/>
              <a:t>Advanced Criteria</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Stats!$C$20</c:f>
              <c:strCache>
                <c:ptCount val="1"/>
                <c:pt idx="0">
                  <c:v>Gobal</c:v>
                </c:pt>
              </c:strCache>
            </c:strRef>
          </c:tx>
          <c:dPt>
            <c:idx val="0"/>
            <c:bubble3D val="0"/>
            <c:spPr>
              <a:solidFill>
                <a:schemeClr val="accent6">
                  <a:lumMod val="75000"/>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91F-4B4A-ACC0-12AE1E7E37C5}"/>
              </c:ext>
            </c:extLst>
          </c:dPt>
          <c:dPt>
            <c:idx val="1"/>
            <c:bubble3D val="0"/>
            <c:spPr>
              <a:solidFill>
                <a:schemeClr val="accent6">
                  <a:lumMod val="60000"/>
                  <a:lumOff val="40000"/>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791F-4B4A-ACC0-12AE1E7E37C5}"/>
              </c:ext>
            </c:extLst>
          </c:dPt>
          <c:dPt>
            <c:idx val="2"/>
            <c:bubble3D val="0"/>
            <c:spPr>
              <a:solidFill>
                <a:srgbClr val="C08B2E">
                  <a:alpha val="90000"/>
                </a:srgb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791F-4B4A-ACC0-12AE1E7E37C5}"/>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791F-4B4A-ACC0-12AE1E7E37C5}"/>
              </c:ext>
            </c:extLst>
          </c:dPt>
          <c:dPt>
            <c:idx val="4"/>
            <c:bubble3D val="0"/>
            <c:spPr>
              <a:solidFill>
                <a:schemeClr val="bg1">
                  <a:lumMod val="85000"/>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791F-4B4A-ACC0-12AE1E7E37C5}"/>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1-791F-4B4A-ACC0-12AE1E7E37C5}"/>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3-791F-4B4A-ACC0-12AE1E7E37C5}"/>
                </c:ext>
              </c:extLst>
            </c:dLbl>
            <c:dLbl>
              <c:idx val="2"/>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05-791F-4B4A-ACC0-12AE1E7E37C5}"/>
                </c:ext>
              </c:extLst>
            </c:dLbl>
            <c:dLbl>
              <c:idx val="3"/>
              <c:layout>
                <c:manualLayout>
                  <c:x val="-6.0299434401685746E-2"/>
                  <c:y val="4.4029093820899527E-2"/>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1F-4B4A-ACC0-12AE1E7E37C5}"/>
                </c:ext>
              </c:extLst>
            </c:dLbl>
            <c:dLbl>
              <c:idx val="4"/>
              <c:layout>
                <c:manualLayout>
                  <c:x val="2.6862408044064957E-2"/>
                  <c:y val="-1.0223541972507674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1F-4B4A-ACC0-12AE1E7E37C5}"/>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dLblPos val="inEnd"/>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Stats!$B$21:$B$25</c:f>
              <c:strCache>
                <c:ptCount val="5"/>
                <c:pt idx="0">
                  <c:v>Meets</c:v>
                </c:pt>
                <c:pt idx="1">
                  <c:v>Partially Meets</c:v>
                </c:pt>
                <c:pt idx="2">
                  <c:v>Misses</c:v>
                </c:pt>
                <c:pt idx="3">
                  <c:v>Blanks</c:v>
                </c:pt>
                <c:pt idx="4">
                  <c:v>Not Applicable</c:v>
                </c:pt>
              </c:strCache>
            </c:strRef>
          </c:cat>
          <c:val>
            <c:numRef>
              <c:f>Stats!$C$21:$C$25</c:f>
              <c:numCache>
                <c:formatCode>General</c:formatCode>
                <c:ptCount val="5"/>
                <c:pt idx="0">
                  <c:v>0</c:v>
                </c:pt>
                <c:pt idx="1">
                  <c:v>0</c:v>
                </c:pt>
                <c:pt idx="2">
                  <c:v>0</c:v>
                </c:pt>
                <c:pt idx="3">
                  <c:v>47</c:v>
                </c:pt>
                <c:pt idx="4">
                  <c:v>0</c:v>
                </c:pt>
              </c:numCache>
            </c:numRef>
          </c:val>
          <c:extLst>
            <c:ext xmlns:c16="http://schemas.microsoft.com/office/drawing/2014/chart" uri="{C3380CC4-5D6E-409C-BE32-E72D297353CC}">
              <c16:uniqueId val="{0000000A-791F-4B4A-ACC0-12AE1E7E37C5}"/>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Advanced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Stats!$B$21</c:f>
              <c:strCache>
                <c:ptCount val="1"/>
                <c:pt idx="0">
                  <c:v>Meets</c:v>
                </c:pt>
              </c:strCache>
            </c:strRef>
          </c:tx>
          <c:spPr>
            <a:solidFill>
              <a:schemeClr val="accent6">
                <a:lumMod val="75000"/>
              </a:schemeClr>
            </a:solidFill>
            <a:ln>
              <a:noFill/>
            </a:ln>
            <a:effectLst/>
          </c:spPr>
          <c:invertIfNegative val="0"/>
          <c:cat>
            <c:strRef>
              <c:f>Stats!$D$20:$I$20</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Stats!$D$21:$I$21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A58-DF48-81BD-FDADE7B0882C}"/>
            </c:ext>
          </c:extLst>
        </c:ser>
        <c:ser>
          <c:idx val="1"/>
          <c:order val="1"/>
          <c:tx>
            <c:strRef>
              <c:f>Stats!$B$22</c:f>
              <c:strCache>
                <c:ptCount val="1"/>
                <c:pt idx="0">
                  <c:v>Partially Meets</c:v>
                </c:pt>
              </c:strCache>
            </c:strRef>
          </c:tx>
          <c:spPr>
            <a:solidFill>
              <a:schemeClr val="accent6">
                <a:lumMod val="60000"/>
                <a:lumOff val="40000"/>
              </a:schemeClr>
            </a:solidFill>
            <a:ln>
              <a:noFill/>
            </a:ln>
            <a:effectLst/>
          </c:spPr>
          <c:invertIfNegative val="0"/>
          <c:cat>
            <c:strRef>
              <c:f>Stats!$D$20:$I$20</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Stats!$D$22:$I$22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A58-DF48-81BD-FDADE7B0882C}"/>
            </c:ext>
          </c:extLst>
        </c:ser>
        <c:ser>
          <c:idx val="2"/>
          <c:order val="2"/>
          <c:tx>
            <c:strRef>
              <c:f>Stats!$B$23</c:f>
              <c:strCache>
                <c:ptCount val="1"/>
                <c:pt idx="0">
                  <c:v>Misses</c:v>
                </c:pt>
              </c:strCache>
            </c:strRef>
          </c:tx>
          <c:spPr>
            <a:solidFill>
              <a:srgbClr val="FF0000"/>
            </a:solidFill>
            <a:ln>
              <a:noFill/>
            </a:ln>
            <a:effectLst/>
          </c:spPr>
          <c:invertIfNegative val="0"/>
          <c:cat>
            <c:strRef>
              <c:f>Stats!$D$20:$I$20</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Stats!$D$23:$I$23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A58-DF48-81BD-FDADE7B0882C}"/>
            </c:ext>
          </c:extLst>
        </c:ser>
        <c:ser>
          <c:idx val="3"/>
          <c:order val="3"/>
          <c:tx>
            <c:strRef>
              <c:f>Stats!$B$24</c:f>
              <c:strCache>
                <c:ptCount val="1"/>
                <c:pt idx="0">
                  <c:v>Blanks</c:v>
                </c:pt>
              </c:strCache>
            </c:strRef>
          </c:tx>
          <c:spPr>
            <a:solidFill>
              <a:schemeClr val="accent4"/>
            </a:solidFill>
            <a:ln>
              <a:noFill/>
            </a:ln>
            <a:effectLst/>
          </c:spPr>
          <c:invertIfNegative val="0"/>
          <c:cat>
            <c:strRef>
              <c:f>Stats!$D$20:$I$20</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Stats!$D$24:$I$24</c:f>
              <c:numCache>
                <c:formatCode>General</c:formatCode>
                <c:ptCount val="6"/>
                <c:pt idx="0">
                  <c:v>2</c:v>
                </c:pt>
                <c:pt idx="1">
                  <c:v>3</c:v>
                </c:pt>
                <c:pt idx="2">
                  <c:v>4</c:v>
                </c:pt>
                <c:pt idx="3">
                  <c:v>9</c:v>
                </c:pt>
                <c:pt idx="4">
                  <c:v>10</c:v>
                </c:pt>
                <c:pt idx="5">
                  <c:v>19</c:v>
                </c:pt>
              </c:numCache>
            </c:numRef>
          </c:val>
          <c:extLst>
            <c:ext xmlns:c16="http://schemas.microsoft.com/office/drawing/2014/chart" uri="{C3380CC4-5D6E-409C-BE32-E72D297353CC}">
              <c16:uniqueId val="{00000003-4A58-DF48-81BD-FDADE7B0882C}"/>
            </c:ext>
          </c:extLst>
        </c:ser>
        <c:ser>
          <c:idx val="4"/>
          <c:order val="4"/>
          <c:tx>
            <c:strRef>
              <c:f>Stats!$B$25</c:f>
              <c:strCache>
                <c:ptCount val="1"/>
                <c:pt idx="0">
                  <c:v>Not Applicable</c:v>
                </c:pt>
              </c:strCache>
            </c:strRef>
          </c:tx>
          <c:spPr>
            <a:solidFill>
              <a:schemeClr val="bg1">
                <a:lumMod val="85000"/>
              </a:schemeClr>
            </a:solidFill>
            <a:ln>
              <a:noFill/>
            </a:ln>
            <a:effectLst/>
          </c:spPr>
          <c:invertIfNegative val="0"/>
          <c:cat>
            <c:strRef>
              <c:f>Stats!$D$20:$I$20</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Stats!$D$25:$I$25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4A58-DF48-81BD-FDADE7B0882C}"/>
            </c:ext>
          </c:extLst>
        </c:ser>
        <c:dLbls>
          <c:showLegendKey val="0"/>
          <c:showVal val="0"/>
          <c:showCatName val="0"/>
          <c:showSerName val="0"/>
          <c:showPercent val="0"/>
          <c:showBubbleSize val="0"/>
        </c:dLbls>
        <c:gapWidth val="150"/>
        <c:axId val="671557631"/>
        <c:axId val="664576911"/>
      </c:barChart>
      <c:catAx>
        <c:axId val="6715576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4576911"/>
        <c:crosses val="autoZero"/>
        <c:auto val="1"/>
        <c:lblAlgn val="ctr"/>
        <c:lblOffset val="100"/>
        <c:noMultiLvlLbl val="0"/>
      </c:catAx>
      <c:valAx>
        <c:axId val="6645769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557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Intermediate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Stats!$B$12</c:f>
              <c:strCache>
                <c:ptCount val="1"/>
                <c:pt idx="0">
                  <c:v>Meets</c:v>
                </c:pt>
              </c:strCache>
            </c:strRef>
          </c:tx>
          <c:spPr>
            <a:solidFill>
              <a:schemeClr val="accent6">
                <a:lumMod val="75000"/>
              </a:schemeClr>
            </a:solidFill>
            <a:ln>
              <a:noFill/>
            </a:ln>
            <a:effectLst/>
          </c:spPr>
          <c:invertIfNegative val="0"/>
          <c:cat>
            <c:strRef>
              <c:f>Stats!$D$11:$I$11</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Stats!$D$12:$I$12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556-7B4B-8A6D-FB57E3698825}"/>
            </c:ext>
          </c:extLst>
        </c:ser>
        <c:ser>
          <c:idx val="1"/>
          <c:order val="1"/>
          <c:tx>
            <c:strRef>
              <c:f>Stats!$B$13</c:f>
              <c:strCache>
                <c:ptCount val="1"/>
                <c:pt idx="0">
                  <c:v>Partially Meets</c:v>
                </c:pt>
              </c:strCache>
            </c:strRef>
          </c:tx>
          <c:spPr>
            <a:solidFill>
              <a:schemeClr val="accent6">
                <a:lumMod val="60000"/>
                <a:lumOff val="40000"/>
              </a:schemeClr>
            </a:solidFill>
            <a:ln>
              <a:noFill/>
            </a:ln>
            <a:effectLst/>
          </c:spPr>
          <c:invertIfNegative val="0"/>
          <c:cat>
            <c:strRef>
              <c:f>Stats!$D$11:$I$11</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Stats!$D$13:$I$13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556-7B4B-8A6D-FB57E3698825}"/>
            </c:ext>
          </c:extLst>
        </c:ser>
        <c:ser>
          <c:idx val="2"/>
          <c:order val="2"/>
          <c:tx>
            <c:strRef>
              <c:f>Stats!$B$14</c:f>
              <c:strCache>
                <c:ptCount val="1"/>
                <c:pt idx="0">
                  <c:v>Misses</c:v>
                </c:pt>
              </c:strCache>
            </c:strRef>
          </c:tx>
          <c:spPr>
            <a:solidFill>
              <a:srgbClr val="FF0000"/>
            </a:solidFill>
            <a:ln>
              <a:noFill/>
            </a:ln>
            <a:effectLst/>
          </c:spPr>
          <c:invertIfNegative val="0"/>
          <c:cat>
            <c:strRef>
              <c:f>Stats!$D$11:$I$11</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Stats!$D$14:$I$14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556-7B4B-8A6D-FB57E3698825}"/>
            </c:ext>
          </c:extLst>
        </c:ser>
        <c:ser>
          <c:idx val="3"/>
          <c:order val="3"/>
          <c:tx>
            <c:strRef>
              <c:f>Stats!$B$15</c:f>
              <c:strCache>
                <c:ptCount val="1"/>
                <c:pt idx="0">
                  <c:v>Blanks</c:v>
                </c:pt>
              </c:strCache>
            </c:strRef>
          </c:tx>
          <c:spPr>
            <a:solidFill>
              <a:schemeClr val="accent4"/>
            </a:solidFill>
            <a:ln>
              <a:noFill/>
            </a:ln>
            <a:effectLst/>
          </c:spPr>
          <c:invertIfNegative val="0"/>
          <c:cat>
            <c:strRef>
              <c:f>Stats!$D$11:$I$11</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Stats!$D$15:$I$15</c:f>
              <c:numCache>
                <c:formatCode>General</c:formatCode>
                <c:ptCount val="6"/>
                <c:pt idx="0">
                  <c:v>4</c:v>
                </c:pt>
                <c:pt idx="1">
                  <c:v>6</c:v>
                </c:pt>
                <c:pt idx="2">
                  <c:v>3</c:v>
                </c:pt>
                <c:pt idx="3">
                  <c:v>11</c:v>
                </c:pt>
                <c:pt idx="4">
                  <c:v>2</c:v>
                </c:pt>
                <c:pt idx="5">
                  <c:v>9</c:v>
                </c:pt>
              </c:numCache>
            </c:numRef>
          </c:val>
          <c:extLst>
            <c:ext xmlns:c16="http://schemas.microsoft.com/office/drawing/2014/chart" uri="{C3380CC4-5D6E-409C-BE32-E72D297353CC}">
              <c16:uniqueId val="{00000003-B556-7B4B-8A6D-FB57E3698825}"/>
            </c:ext>
          </c:extLst>
        </c:ser>
        <c:ser>
          <c:idx val="4"/>
          <c:order val="4"/>
          <c:tx>
            <c:strRef>
              <c:f>Stats!$B$16</c:f>
              <c:strCache>
                <c:ptCount val="1"/>
                <c:pt idx="0">
                  <c:v>Not Applicable</c:v>
                </c:pt>
              </c:strCache>
            </c:strRef>
          </c:tx>
          <c:spPr>
            <a:solidFill>
              <a:schemeClr val="bg1">
                <a:lumMod val="85000"/>
              </a:schemeClr>
            </a:solidFill>
            <a:ln>
              <a:noFill/>
            </a:ln>
            <a:effectLst/>
          </c:spPr>
          <c:invertIfNegative val="0"/>
          <c:cat>
            <c:strRef>
              <c:f>Stats!$D$11:$I$11</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Stats!$D$16:$I$16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B556-7B4B-8A6D-FB57E3698825}"/>
            </c:ext>
          </c:extLst>
        </c:ser>
        <c:dLbls>
          <c:showLegendKey val="0"/>
          <c:showVal val="0"/>
          <c:showCatName val="0"/>
          <c:showSerName val="0"/>
          <c:showPercent val="0"/>
          <c:showBubbleSize val="0"/>
        </c:dLbls>
        <c:gapWidth val="150"/>
        <c:axId val="671612783"/>
        <c:axId val="666951903"/>
      </c:barChart>
      <c:catAx>
        <c:axId val="671612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951903"/>
        <c:crosses val="autoZero"/>
        <c:auto val="1"/>
        <c:lblAlgn val="ctr"/>
        <c:lblOffset val="100"/>
        <c:noMultiLvlLbl val="0"/>
      </c:catAx>
      <c:valAx>
        <c:axId val="66695190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612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Basic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Stats!$B$3</c:f>
              <c:strCache>
                <c:ptCount val="1"/>
                <c:pt idx="0">
                  <c:v>Meets</c:v>
                </c:pt>
              </c:strCache>
            </c:strRef>
          </c:tx>
          <c:spPr>
            <a:solidFill>
              <a:schemeClr val="accent6">
                <a:lumMod val="75000"/>
              </a:schemeClr>
            </a:solidFill>
            <a:ln>
              <a:noFill/>
            </a:ln>
            <a:effectLst/>
          </c:spPr>
          <c:invertIfNegative val="0"/>
          <c:cat>
            <c:strRef>
              <c:f>Stats!$D$2:$I$2</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Stats!$D$3:$I$3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EF9-DA45-A3AF-AB388268B497}"/>
            </c:ext>
          </c:extLst>
        </c:ser>
        <c:ser>
          <c:idx val="1"/>
          <c:order val="1"/>
          <c:tx>
            <c:strRef>
              <c:f>Stats!$B$4</c:f>
              <c:strCache>
                <c:ptCount val="1"/>
                <c:pt idx="0">
                  <c:v>Partially Meets</c:v>
                </c:pt>
              </c:strCache>
            </c:strRef>
          </c:tx>
          <c:spPr>
            <a:solidFill>
              <a:schemeClr val="accent6">
                <a:lumMod val="60000"/>
                <a:lumOff val="40000"/>
              </a:schemeClr>
            </a:solidFill>
            <a:ln>
              <a:noFill/>
            </a:ln>
            <a:effectLst/>
          </c:spPr>
          <c:invertIfNegative val="0"/>
          <c:cat>
            <c:strRef>
              <c:f>Stats!$D$2:$I$2</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Stats!$D$4:$I$4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EF9-DA45-A3AF-AB388268B497}"/>
            </c:ext>
          </c:extLst>
        </c:ser>
        <c:ser>
          <c:idx val="2"/>
          <c:order val="2"/>
          <c:tx>
            <c:strRef>
              <c:f>Stats!$B$5</c:f>
              <c:strCache>
                <c:ptCount val="1"/>
                <c:pt idx="0">
                  <c:v>Misses</c:v>
                </c:pt>
              </c:strCache>
            </c:strRef>
          </c:tx>
          <c:spPr>
            <a:solidFill>
              <a:srgbClr val="FF0000"/>
            </a:solidFill>
            <a:ln>
              <a:noFill/>
            </a:ln>
            <a:effectLst/>
          </c:spPr>
          <c:invertIfNegative val="0"/>
          <c:cat>
            <c:strRef>
              <c:f>Stats!$D$2:$I$2</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Stats!$D$5:$I$5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1EF9-DA45-A3AF-AB388268B497}"/>
            </c:ext>
          </c:extLst>
        </c:ser>
        <c:ser>
          <c:idx val="3"/>
          <c:order val="3"/>
          <c:tx>
            <c:strRef>
              <c:f>Stats!$B$6</c:f>
              <c:strCache>
                <c:ptCount val="1"/>
                <c:pt idx="0">
                  <c:v>Blanks</c:v>
                </c:pt>
              </c:strCache>
            </c:strRef>
          </c:tx>
          <c:spPr>
            <a:solidFill>
              <a:schemeClr val="accent4"/>
            </a:solidFill>
            <a:ln>
              <a:noFill/>
            </a:ln>
            <a:effectLst/>
          </c:spPr>
          <c:invertIfNegative val="0"/>
          <c:cat>
            <c:strRef>
              <c:f>Stats!$D$2:$I$2</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Stats!$D$6:$I$6</c:f>
              <c:numCache>
                <c:formatCode>General</c:formatCode>
                <c:ptCount val="6"/>
                <c:pt idx="0">
                  <c:v>6</c:v>
                </c:pt>
                <c:pt idx="1">
                  <c:v>4</c:v>
                </c:pt>
                <c:pt idx="2">
                  <c:v>2</c:v>
                </c:pt>
                <c:pt idx="3">
                  <c:v>11</c:v>
                </c:pt>
                <c:pt idx="4">
                  <c:v>0</c:v>
                </c:pt>
                <c:pt idx="5">
                  <c:v>5</c:v>
                </c:pt>
              </c:numCache>
            </c:numRef>
          </c:val>
          <c:extLst>
            <c:ext xmlns:c16="http://schemas.microsoft.com/office/drawing/2014/chart" uri="{C3380CC4-5D6E-409C-BE32-E72D297353CC}">
              <c16:uniqueId val="{00000003-1EF9-DA45-A3AF-AB388268B497}"/>
            </c:ext>
          </c:extLst>
        </c:ser>
        <c:ser>
          <c:idx val="4"/>
          <c:order val="4"/>
          <c:tx>
            <c:strRef>
              <c:f>Stats!$B$7</c:f>
              <c:strCache>
                <c:ptCount val="1"/>
                <c:pt idx="0">
                  <c:v>Not Applicable</c:v>
                </c:pt>
              </c:strCache>
            </c:strRef>
          </c:tx>
          <c:spPr>
            <a:solidFill>
              <a:schemeClr val="bg1">
                <a:lumMod val="85000"/>
              </a:schemeClr>
            </a:solidFill>
            <a:ln>
              <a:noFill/>
            </a:ln>
            <a:effectLst/>
          </c:spPr>
          <c:invertIfNegative val="0"/>
          <c:cat>
            <c:strRef>
              <c:f>Stats!$D$2:$I$2</c:f>
              <c:strCache>
                <c:ptCount val="6"/>
                <c:pt idx="0">
                  <c:v>Legal Compliance</c:v>
                </c:pt>
                <c:pt idx="1">
                  <c:v>Good Governance</c:v>
                </c:pt>
                <c:pt idx="2">
                  <c:v>Financial Management</c:v>
                </c:pt>
                <c:pt idx="3">
                  <c:v>Decent Work</c:v>
                </c:pt>
                <c:pt idx="4">
                  <c:v>Social Responsibility</c:v>
                </c:pt>
                <c:pt idx="5">
                  <c:v>Environmental Stewardship</c:v>
                </c:pt>
              </c:strCache>
            </c:strRef>
          </c:cat>
          <c:val>
            <c:numRef>
              <c:f>Stats!$D$7:$I$7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1EF9-DA45-A3AF-AB388268B497}"/>
            </c:ext>
          </c:extLst>
        </c:ser>
        <c:dLbls>
          <c:showLegendKey val="0"/>
          <c:showVal val="0"/>
          <c:showCatName val="0"/>
          <c:showSerName val="0"/>
          <c:showPercent val="0"/>
          <c:showBubbleSize val="0"/>
        </c:dLbls>
        <c:gapWidth val="150"/>
        <c:axId val="671467791"/>
        <c:axId val="671139023"/>
      </c:barChart>
      <c:catAx>
        <c:axId val="6714677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139023"/>
        <c:crosses val="autoZero"/>
        <c:auto val="1"/>
        <c:lblAlgn val="ctr"/>
        <c:lblOffset val="100"/>
        <c:noMultiLvlLbl val="0"/>
      </c:catAx>
      <c:valAx>
        <c:axId val="6711390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4677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Basic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strRef>
              <c:f>Stats!$B$9</c:f>
              <c:strCache>
                <c:ptCount val="1"/>
                <c:pt idx="0">
                  <c:v>Meets%</c:v>
                </c:pt>
              </c:strCache>
            </c:strRef>
          </c:tx>
          <c:spPr>
            <a:ln w="28575" cap="rnd">
              <a:solidFill>
                <a:schemeClr val="accent1"/>
              </a:solidFill>
              <a:round/>
            </a:ln>
            <a:effectLst/>
          </c:spPr>
          <c:marker>
            <c:symbol val="none"/>
          </c:marker>
          <c:cat>
            <c:strRef>
              <c:f>Stats!$C$2:$I$2</c:f>
              <c:strCache>
                <c:ptCount val="7"/>
                <c:pt idx="0">
                  <c:v>Gobal</c:v>
                </c:pt>
                <c:pt idx="1">
                  <c:v>Legal Compliance</c:v>
                </c:pt>
                <c:pt idx="2">
                  <c:v>Good Governance</c:v>
                </c:pt>
                <c:pt idx="3">
                  <c:v>Financial Management</c:v>
                </c:pt>
                <c:pt idx="4">
                  <c:v>Decent Work</c:v>
                </c:pt>
                <c:pt idx="5">
                  <c:v>Social Responsibility</c:v>
                </c:pt>
                <c:pt idx="6">
                  <c:v>Environmental Stewardship</c:v>
                </c:pt>
              </c:strCache>
            </c:strRef>
          </c:cat>
          <c:val>
            <c:numRef>
              <c:f>Stats!$C$9:$I$9</c:f>
              <c:numCache>
                <c:formatCode>0%</c:formatCode>
                <c:ptCount val="7"/>
                <c:pt idx="0">
                  <c:v>0</c:v>
                </c:pt>
                <c:pt idx="1">
                  <c:v>0</c:v>
                </c:pt>
                <c:pt idx="2">
                  <c:v>0</c:v>
                </c:pt>
                <c:pt idx="3">
                  <c:v>0</c:v>
                </c:pt>
                <c:pt idx="4">
                  <c:v>0</c:v>
                </c:pt>
                <c:pt idx="5">
                  <c:v>0</c:v>
                </c:pt>
                <c:pt idx="6">
                  <c:v>1</c:v>
                </c:pt>
              </c:numCache>
            </c:numRef>
          </c:val>
          <c:extLst>
            <c:ext xmlns:c16="http://schemas.microsoft.com/office/drawing/2014/chart" uri="{C3380CC4-5D6E-409C-BE32-E72D297353CC}">
              <c16:uniqueId val="{00000000-46CA-2742-8B1A-18A355557679}"/>
            </c:ext>
          </c:extLst>
        </c:ser>
        <c:dLbls>
          <c:showLegendKey val="0"/>
          <c:showVal val="0"/>
          <c:showCatName val="0"/>
          <c:showSerName val="0"/>
          <c:showPercent val="0"/>
          <c:showBubbleSize val="0"/>
        </c:dLbls>
        <c:axId val="661047728"/>
        <c:axId val="661049360"/>
      </c:radarChart>
      <c:catAx>
        <c:axId val="66104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049360"/>
        <c:crosses val="autoZero"/>
        <c:auto val="1"/>
        <c:lblAlgn val="ctr"/>
        <c:lblOffset val="100"/>
        <c:noMultiLvlLbl val="0"/>
      </c:catAx>
      <c:valAx>
        <c:axId val="661049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047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Intermediate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strRef>
              <c:f>Stats!$B$18</c:f>
              <c:strCache>
                <c:ptCount val="1"/>
                <c:pt idx="0">
                  <c:v>Meets %</c:v>
                </c:pt>
              </c:strCache>
            </c:strRef>
          </c:tx>
          <c:spPr>
            <a:ln w="28575" cap="rnd">
              <a:solidFill>
                <a:schemeClr val="accent1"/>
              </a:solidFill>
              <a:round/>
            </a:ln>
            <a:effectLst/>
          </c:spPr>
          <c:marker>
            <c:symbol val="none"/>
          </c:marker>
          <c:cat>
            <c:strRef>
              <c:f>Stats!$C$11:$I$11</c:f>
              <c:strCache>
                <c:ptCount val="7"/>
                <c:pt idx="0">
                  <c:v>Gobal</c:v>
                </c:pt>
                <c:pt idx="1">
                  <c:v>Legal Compliance</c:v>
                </c:pt>
                <c:pt idx="2">
                  <c:v>Good Governance</c:v>
                </c:pt>
                <c:pt idx="3">
                  <c:v>Financial Management</c:v>
                </c:pt>
                <c:pt idx="4">
                  <c:v>Decent Work</c:v>
                </c:pt>
                <c:pt idx="5">
                  <c:v>Social Responsibility</c:v>
                </c:pt>
                <c:pt idx="6">
                  <c:v>Environmental Stewardship</c:v>
                </c:pt>
              </c:strCache>
            </c:strRef>
          </c:cat>
          <c:val>
            <c:numRef>
              <c:f>Stats!$C$18:$I$18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C39-724B-AE60-095B545F79C6}"/>
            </c:ext>
          </c:extLst>
        </c:ser>
        <c:dLbls>
          <c:showLegendKey val="0"/>
          <c:showVal val="0"/>
          <c:showCatName val="0"/>
          <c:showSerName val="0"/>
          <c:showPercent val="0"/>
          <c:showBubbleSize val="0"/>
        </c:dLbls>
        <c:axId val="660806336"/>
        <c:axId val="660984096"/>
      </c:radarChart>
      <c:catAx>
        <c:axId val="66080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984096"/>
        <c:crosses val="autoZero"/>
        <c:auto val="1"/>
        <c:lblAlgn val="ctr"/>
        <c:lblOffset val="100"/>
        <c:noMultiLvlLbl val="0"/>
      </c:catAx>
      <c:valAx>
        <c:axId val="660984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80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Advanced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strRef>
              <c:f>Stats!$B$27</c:f>
              <c:strCache>
                <c:ptCount val="1"/>
                <c:pt idx="0">
                  <c:v>Meets%</c:v>
                </c:pt>
              </c:strCache>
            </c:strRef>
          </c:tx>
          <c:spPr>
            <a:ln w="28575" cap="rnd">
              <a:solidFill>
                <a:schemeClr val="accent1"/>
              </a:solidFill>
              <a:round/>
            </a:ln>
            <a:effectLst/>
          </c:spPr>
          <c:marker>
            <c:symbol val="none"/>
          </c:marker>
          <c:cat>
            <c:strRef>
              <c:f>Stats!$C$20:$I$20</c:f>
              <c:strCache>
                <c:ptCount val="7"/>
                <c:pt idx="0">
                  <c:v>Gobal</c:v>
                </c:pt>
                <c:pt idx="1">
                  <c:v>Legal Compliance</c:v>
                </c:pt>
                <c:pt idx="2">
                  <c:v>Good Governance</c:v>
                </c:pt>
                <c:pt idx="3">
                  <c:v>Financial Management</c:v>
                </c:pt>
                <c:pt idx="4">
                  <c:v>Decent Work</c:v>
                </c:pt>
                <c:pt idx="5">
                  <c:v>Social Responsibility</c:v>
                </c:pt>
                <c:pt idx="6">
                  <c:v>Environmental Stewardship</c:v>
                </c:pt>
              </c:strCache>
            </c:strRef>
          </c:cat>
          <c:val>
            <c:numRef>
              <c:f>Stats!$C$27:$I$27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C92-AD47-8790-296E88CE98CB}"/>
            </c:ext>
          </c:extLst>
        </c:ser>
        <c:dLbls>
          <c:showLegendKey val="0"/>
          <c:showVal val="0"/>
          <c:showCatName val="0"/>
          <c:showSerName val="0"/>
          <c:showPercent val="0"/>
          <c:showBubbleSize val="0"/>
        </c:dLbls>
        <c:axId val="640263248"/>
        <c:axId val="659938000"/>
      </c:radarChart>
      <c:catAx>
        <c:axId val="64026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938000"/>
        <c:crosses val="autoZero"/>
        <c:auto val="1"/>
        <c:lblAlgn val="ctr"/>
        <c:lblOffset val="100"/>
        <c:noMultiLvlLbl val="0"/>
      </c:catAx>
      <c:valAx>
        <c:axId val="659938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263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812800</xdr:colOff>
      <xdr:row>0</xdr:row>
      <xdr:rowOff>101600</xdr:rowOff>
    </xdr:from>
    <xdr:to>
      <xdr:col>1</xdr:col>
      <xdr:colOff>1231900</xdr:colOff>
      <xdr:row>4</xdr:row>
      <xdr:rowOff>43180</xdr:rowOff>
    </xdr:to>
    <xdr:pic>
      <xdr:nvPicPr>
        <xdr:cNvPr id="2" name="Picture 1">
          <a:extLst>
            <a:ext uri="{FF2B5EF4-FFF2-40B4-BE49-F238E27FC236}">
              <a16:creationId xmlns:a16="http://schemas.microsoft.com/office/drawing/2014/main" id="{0923623E-2140-8E41-A527-95267AD05B95}"/>
            </a:ext>
          </a:extLst>
        </xdr:cNvPr>
        <xdr:cNvPicPr>
          <a:picLocks noChangeAspect="1"/>
        </xdr:cNvPicPr>
      </xdr:nvPicPr>
      <xdr:blipFill>
        <a:blip xmlns:r="http://schemas.openxmlformats.org/officeDocument/2006/relationships" r:embed="rId1"/>
        <a:stretch>
          <a:fillRect/>
        </a:stretch>
      </xdr:blipFill>
      <xdr:spPr>
        <a:xfrm>
          <a:off x="812800" y="101600"/>
          <a:ext cx="1257300" cy="754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368300</xdr:colOff>
      <xdr:row>19</xdr:row>
      <xdr:rowOff>12700</xdr:rowOff>
    </xdr:from>
    <xdr:to>
      <xdr:col>6</xdr:col>
      <xdr:colOff>368300</xdr:colOff>
      <xdr:row>33</xdr:row>
      <xdr:rowOff>152400</xdr:rowOff>
    </xdr:to>
    <xdr:graphicFrame macro="">
      <xdr:nvGraphicFramePr>
        <xdr:cNvPr id="3" name="Chart 2">
          <a:extLst>
            <a:ext uri="{FF2B5EF4-FFF2-40B4-BE49-F238E27FC236}">
              <a16:creationId xmlns:a16="http://schemas.microsoft.com/office/drawing/2014/main" id="{CE44F8D7-AB56-914E-ADAC-C809D2CA2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711200</xdr:colOff>
      <xdr:row>19</xdr:row>
      <xdr:rowOff>0</xdr:rowOff>
    </xdr:from>
    <xdr:to>
      <xdr:col>12</xdr:col>
      <xdr:colOff>317500</xdr:colOff>
      <xdr:row>33</xdr:row>
      <xdr:rowOff>177800</xdr:rowOff>
    </xdr:to>
    <xdr:graphicFrame macro="">
      <xdr:nvGraphicFramePr>
        <xdr:cNvPr id="5" name="Chart 4">
          <a:extLst>
            <a:ext uri="{FF2B5EF4-FFF2-40B4-BE49-F238E27FC236}">
              <a16:creationId xmlns:a16="http://schemas.microsoft.com/office/drawing/2014/main" id="{82FA327C-2FCA-3344-BECB-9FCDBFA77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736600</xdr:colOff>
      <xdr:row>18</xdr:row>
      <xdr:rowOff>203200</xdr:rowOff>
    </xdr:from>
    <xdr:to>
      <xdr:col>19</xdr:col>
      <xdr:colOff>368300</xdr:colOff>
      <xdr:row>33</xdr:row>
      <xdr:rowOff>152400</xdr:rowOff>
    </xdr:to>
    <xdr:graphicFrame macro="">
      <xdr:nvGraphicFramePr>
        <xdr:cNvPr id="6" name="Chart 5">
          <a:extLst>
            <a:ext uri="{FF2B5EF4-FFF2-40B4-BE49-F238E27FC236}">
              <a16:creationId xmlns:a16="http://schemas.microsoft.com/office/drawing/2014/main" id="{C6DED939-28A5-7948-B8C2-25B885758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749300</xdr:colOff>
      <xdr:row>55</xdr:row>
      <xdr:rowOff>114300</xdr:rowOff>
    </xdr:from>
    <xdr:to>
      <xdr:col>19</xdr:col>
      <xdr:colOff>431800</xdr:colOff>
      <xdr:row>71</xdr:row>
      <xdr:rowOff>165100</xdr:rowOff>
    </xdr:to>
    <xdr:graphicFrame macro="">
      <xdr:nvGraphicFramePr>
        <xdr:cNvPr id="11" name="Chart 10">
          <a:extLst>
            <a:ext uri="{FF2B5EF4-FFF2-40B4-BE49-F238E27FC236}">
              <a16:creationId xmlns:a16="http://schemas.microsoft.com/office/drawing/2014/main" id="{D3989959-9A63-7445-9791-227C9481E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736600</xdr:colOff>
      <xdr:row>55</xdr:row>
      <xdr:rowOff>127000</xdr:rowOff>
    </xdr:from>
    <xdr:to>
      <xdr:col>12</xdr:col>
      <xdr:colOff>292100</xdr:colOff>
      <xdr:row>72</xdr:row>
      <xdr:rowOff>0</xdr:rowOff>
    </xdr:to>
    <xdr:graphicFrame macro="">
      <xdr:nvGraphicFramePr>
        <xdr:cNvPr id="12" name="Chart 11">
          <a:extLst>
            <a:ext uri="{FF2B5EF4-FFF2-40B4-BE49-F238E27FC236}">
              <a16:creationId xmlns:a16="http://schemas.microsoft.com/office/drawing/2014/main" id="{4C5A9D5D-585C-9240-AE53-5D05A10E8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279400</xdr:colOff>
      <xdr:row>55</xdr:row>
      <xdr:rowOff>101600</xdr:rowOff>
    </xdr:from>
    <xdr:to>
      <xdr:col>6</xdr:col>
      <xdr:colOff>469900</xdr:colOff>
      <xdr:row>72</xdr:row>
      <xdr:rowOff>12700</xdr:rowOff>
    </xdr:to>
    <xdr:graphicFrame macro="">
      <xdr:nvGraphicFramePr>
        <xdr:cNvPr id="13" name="Chart 12">
          <a:extLst>
            <a:ext uri="{FF2B5EF4-FFF2-40B4-BE49-F238E27FC236}">
              <a16:creationId xmlns:a16="http://schemas.microsoft.com/office/drawing/2014/main" id="{4CDC71DC-0E83-464D-99E8-E630D24A0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304800</xdr:colOff>
      <xdr:row>37</xdr:row>
      <xdr:rowOff>76200</xdr:rowOff>
    </xdr:from>
    <xdr:to>
      <xdr:col>6</xdr:col>
      <xdr:colOff>381000</xdr:colOff>
      <xdr:row>54</xdr:row>
      <xdr:rowOff>50800</xdr:rowOff>
    </xdr:to>
    <xdr:graphicFrame macro="">
      <xdr:nvGraphicFramePr>
        <xdr:cNvPr id="14" name="Chart 13">
          <a:extLst>
            <a:ext uri="{FF2B5EF4-FFF2-40B4-BE49-F238E27FC236}">
              <a16:creationId xmlns:a16="http://schemas.microsoft.com/office/drawing/2014/main" id="{BE33AC27-53BA-C949-8826-A59208324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736600</xdr:colOff>
      <xdr:row>37</xdr:row>
      <xdr:rowOff>76200</xdr:rowOff>
    </xdr:from>
    <xdr:to>
      <xdr:col>12</xdr:col>
      <xdr:colOff>304800</xdr:colOff>
      <xdr:row>54</xdr:row>
      <xdr:rowOff>50800</xdr:rowOff>
    </xdr:to>
    <xdr:graphicFrame macro="">
      <xdr:nvGraphicFramePr>
        <xdr:cNvPr id="15" name="Chart 14">
          <a:extLst>
            <a:ext uri="{FF2B5EF4-FFF2-40B4-BE49-F238E27FC236}">
              <a16:creationId xmlns:a16="http://schemas.microsoft.com/office/drawing/2014/main" id="{65F1AB34-33DA-C044-8E90-0711DC378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749300</xdr:colOff>
      <xdr:row>37</xdr:row>
      <xdr:rowOff>101600</xdr:rowOff>
    </xdr:from>
    <xdr:to>
      <xdr:col>19</xdr:col>
      <xdr:colOff>419100</xdr:colOff>
      <xdr:row>54</xdr:row>
      <xdr:rowOff>25400</xdr:rowOff>
    </xdr:to>
    <xdr:graphicFrame macro="">
      <xdr:nvGraphicFramePr>
        <xdr:cNvPr id="16" name="Chart 15">
          <a:extLst>
            <a:ext uri="{FF2B5EF4-FFF2-40B4-BE49-F238E27FC236}">
              <a16:creationId xmlns:a16="http://schemas.microsoft.com/office/drawing/2014/main" id="{B1BAF550-A65C-CF4B-A2CE-1DC47BCC0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ren Chandler" refreshedDate="43676.410535763891" createdVersion="6" refreshedVersion="6" minRefreshableVersion="3" recordCount="110" xr:uid="{987D7BFB-3D35-1E40-A12D-BC88F4D33CBE}">
  <cacheSource type="worksheet">
    <worksheetSource name="Table1"/>
  </cacheSource>
  <cacheFields count="11">
    <cacheField name="Principle" numFmtId="0">
      <sharedItems count="6">
        <s v="Legal Compliance"/>
        <s v="Good Governance"/>
        <s v="Financial Management"/>
        <s v="Decent Work"/>
        <s v="Social responsibility"/>
        <s v="Environmental Stewardship"/>
      </sharedItems>
    </cacheField>
    <cacheField name="Number" numFmtId="0">
      <sharedItems count="110">
        <s v="1.1.1"/>
        <s v="1.1.2"/>
        <s v="1.1.3"/>
        <s v="1.2.1"/>
        <s v="1.2.2"/>
        <s v="1.3.1"/>
        <s v="1.3.2"/>
        <s v="1.3.3"/>
        <s v="1.4.1"/>
        <s v="1.5.1"/>
        <s v="1.5.2"/>
        <s v="1.5.3"/>
        <s v="2.1.1"/>
        <s v="2.1.2"/>
        <s v="2.1.3"/>
        <s v="2.2.1"/>
        <s v="2.2.2"/>
        <s v="2.3.1"/>
        <s v="2.3.2"/>
        <s v="2.3.3"/>
        <s v="2.3.4"/>
        <s v="2.4.1"/>
        <s v="2.4.2"/>
        <s v="2.4.3"/>
        <s v="2.4.4"/>
        <s v="3.1.1"/>
        <s v="3.1.2"/>
        <s v="3.1.3"/>
        <s v="3.1.4"/>
        <s v="3.1.5"/>
        <s v="3.1.6"/>
        <s v="3.2.1"/>
        <s v="3.2.2"/>
        <s v="3.2.3"/>
        <s v="4.1.1"/>
        <s v=" 4.2.1"/>
        <s v="4.2.2"/>
        <s v="4.3.1"/>
        <s v="4.3.2"/>
        <s v="4.3.3"/>
        <s v="4.4.1"/>
        <s v="4.4.2"/>
        <s v="4.4.3"/>
        <s v="4.5.1"/>
        <s v="4.5.2"/>
        <s v="4.6.1"/>
        <s v="4.6.2"/>
        <s v="4.6.3"/>
        <s v="4.6.4"/>
        <s v="4.6.5"/>
        <s v="4.6.6"/>
        <s v="4.6.7"/>
        <s v="4.6.8"/>
        <s v="4.6.9"/>
        <s v="4.7.1"/>
        <s v="4.7.2"/>
        <s v="4.7.3"/>
        <s v="4.7.4"/>
        <s v="4.7.5"/>
        <s v="4.7.6"/>
        <s v="4.7.7"/>
        <s v="4.7.8"/>
        <s v="4.7.9 "/>
        <s v="4.7.10"/>
        <s v="4.7.11"/>
        <s v="5.1.1"/>
        <s v="5.1.2"/>
        <s v="5.1.3"/>
        <s v="5.1.4"/>
        <s v="5.1.5"/>
        <s v="5.1.6"/>
        <s v="5.1.7"/>
        <s v="5.2.1"/>
        <s v="5.2.2"/>
        <s v="5.2.3"/>
        <s v="5.2.4"/>
        <s v="5.2.5"/>
        <s v="6.1.1"/>
        <s v="6.1.2"/>
        <s v="6.1.3"/>
        <s v="6.1.4"/>
        <s v="6.1.5"/>
        <s v="6.1.6"/>
        <s v="6.1.7"/>
        <s v="6.1.8"/>
        <s v="6.1.9"/>
        <s v="6.2.1"/>
        <s v="6.2.2"/>
        <s v="6.2.3"/>
        <s v="6.2.4"/>
        <s v="6.2.5"/>
        <s v="6.2.6 "/>
        <s v="6.2.7"/>
        <s v="6.2.8"/>
        <s v="6.2.9"/>
        <s v="6.3.1"/>
        <s v="6.3.2"/>
        <s v="6.3.3"/>
        <s v="6.3.4"/>
        <s v="6.3.5"/>
        <s v="6.3.6"/>
        <s v="6.3.7"/>
        <s v="6.3.8"/>
        <s v="6.3.9"/>
        <s v="6.4.1"/>
        <s v="6.4.2"/>
        <s v="6.4.3"/>
        <s v="6.4.4"/>
        <s v="6.4.5"/>
        <s v="6.4.6"/>
      </sharedItems>
    </cacheField>
    <cacheField name="Criterion" numFmtId="0">
      <sharedItems longText="1"/>
    </cacheField>
    <cacheField name="Escalator Level" numFmtId="0">
      <sharedItems count="5">
        <s v="Basic"/>
        <s v="Intermediate"/>
        <s v="Advanced I"/>
        <s v="Advanced II"/>
        <s v="Advanced III"/>
      </sharedItems>
    </cacheField>
    <cacheField name="Performance Baseline (MM/YYYY)" numFmtId="0">
      <sharedItems containsNonDate="0" containsString="0" containsBlank="1" count="1">
        <m/>
      </sharedItems>
    </cacheField>
    <cacheField name="Performance Determination" numFmtId="0">
      <sharedItems containsBlank="1" count="4">
        <s v="Meets"/>
        <s v="N/A"/>
        <s v="Misses"/>
        <m/>
      </sharedItems>
    </cacheField>
    <cacheField name="Date of Assessment (DD/MM/YYYY)" numFmtId="164">
      <sharedItems containsNonDate="0" containsString="0" containsBlank="1"/>
    </cacheField>
    <cacheField name="Description of Evidence Provided" numFmtId="0">
      <sharedItems containsNonDate="0" containsString="0" containsBlank="1"/>
    </cacheField>
    <cacheField name="Dropbox-Link" numFmtId="0">
      <sharedItems containsNonDate="0" containsString="0" containsBlank="1"/>
    </cacheField>
    <cacheField name="Valid Till" numFmtId="0">
      <sharedItems containsNonDate="0" containsString="0" containsBlank="1"/>
    </cacheField>
    <cacheField name="#ID" numFmtId="0">
      <sharedItems containsSemiMixedTypes="0" containsString="0" containsNumber="1" containsInteger="1" minValue="1" maxValue="1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
  <r>
    <x v="0"/>
    <x v="0"/>
    <s v="The organisation’s activity is legitimate in the country of operation"/>
    <x v="0"/>
    <x v="0"/>
    <x v="0"/>
    <m/>
    <m/>
    <m/>
    <m/>
    <n v="1"/>
  </r>
  <r>
    <x v="0"/>
    <x v="1"/>
    <s v="The organisation is legally registered with the government"/>
    <x v="0"/>
    <x v="0"/>
    <x v="0"/>
    <m/>
    <m/>
    <m/>
    <m/>
    <n v="2"/>
  </r>
  <r>
    <x v="0"/>
    <x v="2"/>
    <s v="The organisation must not appear on, employ, or sell to persons on the consolidated list of asset freeze targets designated by the United Nations, European Union and United States"/>
    <x v="0"/>
    <x v="0"/>
    <x v="0"/>
    <m/>
    <m/>
    <m/>
    <m/>
    <n v="3"/>
  </r>
  <r>
    <x v="0"/>
    <x v="3"/>
    <s v="Royalties on production are paid at the legally obligated rate"/>
    <x v="0"/>
    <x v="0"/>
    <x v="0"/>
    <m/>
    <m/>
    <m/>
    <m/>
    <n v="4"/>
  </r>
  <r>
    <x v="0"/>
    <x v="4"/>
    <s v="All taxes, fees, royalties and other tributes as required by applicable legislation must be paid to the relevant authority"/>
    <x v="1"/>
    <x v="0"/>
    <x v="0"/>
    <m/>
    <m/>
    <m/>
    <m/>
    <n v="5"/>
  </r>
  <r>
    <x v="0"/>
    <x v="5"/>
    <s v="The organisation or its members must possess, or be granted landrights and permissions for all areas on which it operates from the government or the original land holder(s)"/>
    <x v="0"/>
    <x v="0"/>
    <x v="0"/>
    <m/>
    <m/>
    <m/>
    <m/>
    <n v="6"/>
  </r>
  <r>
    <x v="0"/>
    <x v="6"/>
    <s v="The organisation or its members must possess, or be granted, necessary permits/ licenses for the activities of its operation"/>
    <x v="1"/>
    <x v="0"/>
    <x v="0"/>
    <m/>
    <m/>
    <m/>
    <m/>
    <n v="7"/>
  </r>
  <r>
    <x v="0"/>
    <x v="7"/>
    <s v="The organisation must comply with national environmental laws and have submitted pending applications for all environmental licenses, permits,  or management plans according to national legal requirements"/>
    <x v="2"/>
    <x v="0"/>
    <x v="1"/>
    <m/>
    <m/>
    <m/>
    <m/>
    <n v="8"/>
  </r>
  <r>
    <x v="0"/>
    <x v="8"/>
    <s v="The organisation only sells its production to traders with legal permits to trade"/>
    <x v="1"/>
    <x v="0"/>
    <x v="2"/>
    <m/>
    <m/>
    <m/>
    <m/>
    <n v="9"/>
  </r>
  <r>
    <x v="0"/>
    <x v="9"/>
    <s v="The organisation's activities neither directly nor indirectly finance or support illegal activities or armed conflicts"/>
    <x v="0"/>
    <x v="0"/>
    <x v="0"/>
    <m/>
    <m/>
    <m/>
    <m/>
    <n v="10"/>
  </r>
  <r>
    <x v="0"/>
    <x v="10"/>
    <s v="The organisation identifies and assesses the risk of funding illegal activity or conflict through its supply chain, and puts in place reasonable measures to minimise risk"/>
    <x v="1"/>
    <x v="0"/>
    <x v="0"/>
    <m/>
    <m/>
    <m/>
    <m/>
    <n v="11"/>
  </r>
  <r>
    <x v="0"/>
    <x v="11"/>
    <s v="A grievance procedure for human rights infringements must be in place which includes a due diligence process. If a grievance cannot be resolved, then concerns shall be investigated by an independent human rights body "/>
    <x v="2"/>
    <x v="0"/>
    <x v="0"/>
    <m/>
    <m/>
    <m/>
    <m/>
    <n v="12"/>
  </r>
  <r>
    <x v="1"/>
    <x v="12"/>
    <s v="The organisation has a clear and transparent structure and decision-making process appropriate to the size of the organisation that enable the effective control and monitoring of business activities"/>
    <x v="0"/>
    <x v="0"/>
    <x v="0"/>
    <m/>
    <m/>
    <m/>
    <m/>
    <n v="13"/>
  </r>
  <r>
    <x v="1"/>
    <x v="13"/>
    <s v="The organisation has a transparent ownership structure"/>
    <x v="0"/>
    <x v="0"/>
    <x v="0"/>
    <m/>
    <m/>
    <m/>
    <m/>
    <n v="14"/>
  </r>
  <r>
    <x v="1"/>
    <x v="14"/>
    <s v="Organisational leadership and staff promotions are determined on the basis of relevant experience and qualification in a transparent and accountable manner"/>
    <x v="1"/>
    <x v="0"/>
    <x v="2"/>
    <m/>
    <m/>
    <m/>
    <m/>
    <n v="15"/>
  </r>
  <r>
    <x v="1"/>
    <x v="15"/>
    <s v="The organisation prevents, detects and remediates corruption"/>
    <x v="1"/>
    <x v="0"/>
    <x v="2"/>
    <m/>
    <m/>
    <m/>
    <m/>
    <n v="16"/>
  </r>
  <r>
    <x v="1"/>
    <x v="16"/>
    <s v="The organisation's workers are provided training and information about the organisation's policies and procedures "/>
    <x v="1"/>
    <x v="0"/>
    <x v="2"/>
    <m/>
    <m/>
    <m/>
    <m/>
    <n v="17"/>
  </r>
  <r>
    <x v="1"/>
    <x v="17"/>
    <s v="The organisation maintains a registry of all workers and records of visitors accessing the site "/>
    <x v="1"/>
    <x v="0"/>
    <x v="0"/>
    <m/>
    <m/>
    <m/>
    <m/>
    <n v="18"/>
  </r>
  <r>
    <x v="1"/>
    <x v="18"/>
    <s v="The organisation has a dedicated bank account and maintains appropriate banking records for all its accounts "/>
    <x v="0"/>
    <x v="0"/>
    <x v="3"/>
    <m/>
    <m/>
    <m/>
    <m/>
    <n v="19"/>
  </r>
  <r>
    <x v="1"/>
    <x v="19"/>
    <s v="The organisation has up-to-date bank receipts or statements"/>
    <x v="2"/>
    <x v="0"/>
    <x v="0"/>
    <m/>
    <m/>
    <m/>
    <m/>
    <n v="20"/>
  </r>
  <r>
    <x v="1"/>
    <x v="20"/>
    <s v="The organisation has a procedure(s) to monitor ingress to high risk areas, such as mine shafts or pits"/>
    <x v="2"/>
    <x v="0"/>
    <x v="2"/>
    <m/>
    <m/>
    <m/>
    <m/>
    <n v="21"/>
  </r>
  <r>
    <x v="1"/>
    <x v="21"/>
    <s v="Product not produced by the organisation must be kept physically separate and labelled as such from procurement to sale"/>
    <x v="0"/>
    <x v="0"/>
    <x v="1"/>
    <m/>
    <m/>
    <m/>
    <m/>
    <n v="22"/>
  </r>
  <r>
    <x v="1"/>
    <x v="22"/>
    <s v="All transactions between a producer organisation and trader are documented, including dates, volume, price, physical form of the product when transacted, seller identity, trader identity and permit number where available"/>
    <x v="1"/>
    <x v="0"/>
    <x v="2"/>
    <m/>
    <m/>
    <m/>
    <m/>
    <n v="23"/>
  </r>
  <r>
    <x v="1"/>
    <x v="23"/>
    <s v="Product with certification or other unique selling point should be kept physically separate and traceable through labelling from production to sale"/>
    <x v="1"/>
    <x v="0"/>
    <x v="1"/>
    <m/>
    <m/>
    <m/>
    <m/>
    <n v="24"/>
  </r>
  <r>
    <x v="1"/>
    <x v="24"/>
    <s v="The organisation carries out regular checks of production from all work places to ensure that no outside production is mixed with internal production"/>
    <x v="2"/>
    <x v="0"/>
    <x v="0"/>
    <m/>
    <m/>
    <m/>
    <m/>
    <n v="25"/>
  </r>
  <r>
    <x v="2"/>
    <x v="25"/>
    <s v="The organisation maintains partial records of its production, revenue and expenses "/>
    <x v="0"/>
    <x v="0"/>
    <x v="0"/>
    <m/>
    <m/>
    <m/>
    <m/>
    <n v="26"/>
  </r>
  <r>
    <x v="2"/>
    <x v="26"/>
    <s v="The organisation maintains full records of its production, revenue and expenses "/>
    <x v="2"/>
    <x v="0"/>
    <x v="0"/>
    <m/>
    <m/>
    <m/>
    <m/>
    <n v="27"/>
  </r>
  <r>
    <x v="2"/>
    <x v="27"/>
    <s v="The organisation sets aside a budget for the following month"/>
    <x v="1"/>
    <x v="0"/>
    <x v="0"/>
    <m/>
    <m/>
    <m/>
    <m/>
    <n v="28"/>
  </r>
  <r>
    <x v="2"/>
    <x v="28"/>
    <s v="The organisation sets aside a budget for the following six months"/>
    <x v="2"/>
    <x v="0"/>
    <x v="0"/>
    <m/>
    <m/>
    <m/>
    <m/>
    <n v="29"/>
  </r>
  <r>
    <x v="2"/>
    <x v="29"/>
    <s v="The organisation maintains a list of assets "/>
    <x v="1"/>
    <x v="0"/>
    <x v="0"/>
    <m/>
    <m/>
    <m/>
    <m/>
    <n v="30"/>
  </r>
  <r>
    <x v="2"/>
    <x v="30"/>
    <s v="The organisation uses petty cash accountably to cover basic, immediate expenses "/>
    <x v="1"/>
    <x v="0"/>
    <x v="0"/>
    <m/>
    <m/>
    <m/>
    <m/>
    <n v="31"/>
  </r>
  <r>
    <x v="2"/>
    <x v="31"/>
    <s v="The organisation identifies and adresses business risk"/>
    <x v="0"/>
    <x v="0"/>
    <x v="2"/>
    <m/>
    <m/>
    <m/>
    <m/>
    <n v="32"/>
  </r>
  <r>
    <x v="2"/>
    <x v="32"/>
    <s v="The organisation maintains a business plan which is regularly updated and includes cash flow projection"/>
    <x v="2"/>
    <x v="0"/>
    <x v="0"/>
    <m/>
    <m/>
    <m/>
    <m/>
    <n v="33"/>
  </r>
  <r>
    <x v="2"/>
    <x v="33"/>
    <s v="The organisation's business plan should include investment in the creation and maintenance of the ecological integrity of the environment in and around the organisation's operations"/>
    <x v="3"/>
    <x v="0"/>
    <x v="2"/>
    <m/>
    <m/>
    <m/>
    <m/>
    <n v="34"/>
  </r>
  <r>
    <x v="3"/>
    <x v="34"/>
    <s v="Forced Labour, including bonded or involuntary prison labour, must not occur"/>
    <x v="0"/>
    <x v="0"/>
    <x v="0"/>
    <m/>
    <m/>
    <m/>
    <m/>
    <n v="35"/>
  </r>
  <r>
    <x v="3"/>
    <x v="35"/>
    <s v="Minimum contracted employment age must not be less than 15 years, unless existing national law for the sector of employment sepcifies this to be higher"/>
    <x v="0"/>
    <x v="0"/>
    <x v="0"/>
    <m/>
    <m/>
    <m/>
    <m/>
    <n v="36"/>
  </r>
  <r>
    <x v="3"/>
    <x v="36"/>
    <s v="Persons under 18 years of age must not be employed or contracted for any type of hazardous labour, which by its nature or the circumstances under which it is carried out, is likely to jeopardise their health, safety, morals or educational development"/>
    <x v="0"/>
    <x v="0"/>
    <x v="0"/>
    <m/>
    <m/>
    <m/>
    <m/>
    <n v="37"/>
  </r>
  <r>
    <x v="3"/>
    <x v="37"/>
    <s v="Discrimination must not be tolerated "/>
    <x v="1"/>
    <x v="0"/>
    <x v="0"/>
    <m/>
    <m/>
    <m/>
    <m/>
    <n v="38"/>
  </r>
  <r>
    <x v="3"/>
    <x v="38"/>
    <s v="The organisation has a grievance mechanism to effectively receive and respond to confidential complaints from workers "/>
    <x v="2"/>
    <x v="0"/>
    <x v="0"/>
    <m/>
    <m/>
    <m/>
    <m/>
    <n v="39"/>
  </r>
  <r>
    <x v="3"/>
    <x v="39"/>
    <s v="Appropriate measures are taken to ensure equal representation of women in the organisation"/>
    <x v="3"/>
    <x v="0"/>
    <x v="0"/>
    <m/>
    <m/>
    <m/>
    <m/>
    <n v="40"/>
  </r>
  <r>
    <x v="3"/>
    <x v="40"/>
    <s v="The organisation and its workers do not engage in, support or tolerate the use of corporal punishment, mental or physical coercion or verbal abuse "/>
    <x v="0"/>
    <x v="0"/>
    <x v="0"/>
    <m/>
    <m/>
    <m/>
    <m/>
    <n v="41"/>
  </r>
  <r>
    <x v="3"/>
    <x v="41"/>
    <s v="Workers must not engage in, support or tolerate behaviour, including gestures, language, and physical contact, that is sexually intimidating, abusive or exploitative"/>
    <x v="0"/>
    <x v="0"/>
    <x v="2"/>
    <m/>
    <m/>
    <m/>
    <m/>
    <n v="42"/>
  </r>
  <r>
    <x v="3"/>
    <x v="42"/>
    <s v="The organisation does not tolerate gender-based violence"/>
    <x v="1"/>
    <x v="0"/>
    <x v="3"/>
    <m/>
    <m/>
    <m/>
    <m/>
    <n v="43"/>
  </r>
  <r>
    <x v="3"/>
    <x v="43"/>
    <s v="The organisation must recognise in writing and in practice the right of all workers to organise and to join workers' organisations of their own choice and to collectively negociate their working conditions"/>
    <x v="1"/>
    <x v="0"/>
    <x v="1"/>
    <m/>
    <m/>
    <m/>
    <m/>
    <n v="44"/>
  </r>
  <r>
    <x v="3"/>
    <x v="44"/>
    <s v="The organisation provides workers' representatives with facilities, resources and time during working hours for meetings with workers and to effectively carry out their functions"/>
    <x v="2"/>
    <x v="0"/>
    <x v="0"/>
    <m/>
    <m/>
    <m/>
    <m/>
    <n v="45"/>
  </r>
  <r>
    <x v="3"/>
    <x v="45"/>
    <s v="All workers' wages must be equal to or exceed the sector national average wages or official minimum wages for similar occupations, whichever is higher, or workers receive shares of production or profit that are representative of their work"/>
    <x v="0"/>
    <x v="0"/>
    <x v="1"/>
    <m/>
    <m/>
    <m/>
    <m/>
    <n v="46"/>
  </r>
  <r>
    <x v="3"/>
    <x v="46"/>
    <s v="Employed workers' remuneration must be made regurlarly and be properly documented"/>
    <x v="0"/>
    <x v="0"/>
    <x v="0"/>
    <m/>
    <m/>
    <m/>
    <m/>
    <n v="47"/>
  </r>
  <r>
    <x v="3"/>
    <x v="47"/>
    <s v="Lowest wages must be gradually increased to 'living wage' levels above the official minimum wage"/>
    <x v="1"/>
    <x v="0"/>
    <x v="1"/>
    <m/>
    <m/>
    <m/>
    <m/>
    <n v="48"/>
  </r>
  <r>
    <x v="3"/>
    <x v="48"/>
    <s v="All workers' wages must equal or exceed a 'living wage' for the country in which they work"/>
    <x v="2"/>
    <x v="0"/>
    <x v="1"/>
    <m/>
    <m/>
    <m/>
    <m/>
    <n v="49"/>
  </r>
  <r>
    <x v="3"/>
    <x v="49"/>
    <s v="Under normal conditions, working hours must not exceed 48 hours per week and include at least 24 consecutive hours of rest per week. Overtime must not exceed 12 hours per week or a maximum of 3 hours per day"/>
    <x v="0"/>
    <x v="0"/>
    <x v="0"/>
    <m/>
    <m/>
    <m/>
    <m/>
    <n v="50"/>
  </r>
  <r>
    <x v="3"/>
    <x v="50"/>
    <s v="Deductions from salaries of hired workers are only permitted as agreed by national laws, as fixed by a collective bargaining agreement or if the employee has given their written consent "/>
    <x v="0"/>
    <x v="0"/>
    <x v="1"/>
    <m/>
    <m/>
    <m/>
    <m/>
    <n v="51"/>
  </r>
  <r>
    <x v="3"/>
    <x v="51"/>
    <s v="All third party hired workers, seasonal and migrant workers must receive employment conditions equal to or better than those provided to other workers within the organisation for the same work performed "/>
    <x v="0"/>
    <x v="0"/>
    <x v="2"/>
    <m/>
    <m/>
    <m/>
    <m/>
    <n v="52"/>
  </r>
  <r>
    <x v="3"/>
    <x v="52"/>
    <s v="All workers have a legal contract clearly stating terms of work "/>
    <x v="2"/>
    <x v="0"/>
    <x v="2"/>
    <m/>
    <m/>
    <m/>
    <m/>
    <n v="53"/>
  </r>
  <r>
    <x v="3"/>
    <x v="53"/>
    <s v="If workers are provided with housing, the conditions and the infrastructure of the house must be such as to ensure decency, privacy and security. Housing must be provided at reasonable cost, and workers must not be obliged to use the employer's housing"/>
    <x v="3"/>
    <x v="0"/>
    <x v="1"/>
    <m/>
    <m/>
    <m/>
    <m/>
    <n v="54"/>
  </r>
  <r>
    <x v="3"/>
    <x v="54"/>
    <s v="All workers must be fit for work "/>
    <x v="0"/>
    <x v="0"/>
    <x v="3"/>
    <m/>
    <m/>
    <m/>
    <m/>
    <n v="55"/>
  </r>
  <r>
    <x v="3"/>
    <x v="55"/>
    <s v="The organisation provided support to all pregnant and breastfeeding workers, and assigns them appropriate, non-hazardous work"/>
    <x v="1"/>
    <x v="0"/>
    <x v="0"/>
    <m/>
    <m/>
    <m/>
    <m/>
    <n v="56"/>
  </r>
  <r>
    <x v="3"/>
    <x v="56"/>
    <s v="A committee must be established to monitor and manage health and safety risks in the workplace, for the whole operational area of the organisation"/>
    <x v="1"/>
    <x v="0"/>
    <x v="0"/>
    <m/>
    <m/>
    <m/>
    <m/>
    <n v="57"/>
  </r>
  <r>
    <x v="3"/>
    <x v="57"/>
    <s v="Adequate measures for rock stability are used in all work areas, or areas that could lead to propagation of instability in work areas"/>
    <x v="1"/>
    <x v="0"/>
    <x v="0"/>
    <m/>
    <m/>
    <m/>
    <m/>
    <n v="58"/>
  </r>
  <r>
    <x v="3"/>
    <x v="58"/>
    <s v="Adequate ventilation is provided in all work areas"/>
    <x v="2"/>
    <x v="0"/>
    <x v="0"/>
    <m/>
    <m/>
    <m/>
    <m/>
    <n v="59"/>
  </r>
  <r>
    <x v="3"/>
    <x v="59"/>
    <s v="All workers must use personal protection equipment (PPE) appropriate to their respective work activity"/>
    <x v="1"/>
    <x v="0"/>
    <x v="2"/>
    <m/>
    <m/>
    <m/>
    <m/>
    <n v="60"/>
  </r>
  <r>
    <x v="3"/>
    <x v="60"/>
    <s v="Potable water and hygiene facilities are available to all workers "/>
    <x v="1"/>
    <x v="0"/>
    <x v="0"/>
    <m/>
    <m/>
    <m/>
    <m/>
    <n v="61"/>
  </r>
  <r>
    <x v="3"/>
    <x v="61"/>
    <s v="All workers must have access to information and awareness training on the main health, safety and security risks related to their area and activity of work and on procedures to prevent and respond to health and safety incidents "/>
    <x v="1"/>
    <x v="0"/>
    <x v="0"/>
    <m/>
    <m/>
    <m/>
    <m/>
    <n v="62"/>
  </r>
  <r>
    <x v="3"/>
    <x v="62"/>
    <s v="A first aid kit and trained person must be available in all areas of work"/>
    <x v="1"/>
    <x v="0"/>
    <x v="2"/>
    <m/>
    <m/>
    <m/>
    <m/>
    <n v="63"/>
  </r>
  <r>
    <x v="3"/>
    <x v="63"/>
    <s v="The organisation maintains a register of all work-related accidents, fatalities and illnesses"/>
    <x v="2"/>
    <x v="0"/>
    <x v="2"/>
    <m/>
    <m/>
    <m/>
    <m/>
    <n v="64"/>
  </r>
  <r>
    <x v="3"/>
    <x v="64"/>
    <s v="Mining operations have a mine evacuation and rescue plan"/>
    <x v="2"/>
    <x v="0"/>
    <x v="0"/>
    <m/>
    <m/>
    <m/>
    <m/>
    <n v="65"/>
  </r>
  <r>
    <x v="4"/>
    <x v="65"/>
    <s v="On the death of a worker or shareholder, heirs retain the shares and earnings held by the deceased "/>
    <x v="1"/>
    <x v="0"/>
    <x v="1"/>
    <m/>
    <m/>
    <m/>
    <m/>
    <n v="66"/>
  </r>
  <r>
    <x v="4"/>
    <x v="66"/>
    <s v="The organisation must assist workers to access social protection"/>
    <x v="2"/>
    <x v="0"/>
    <x v="1"/>
    <m/>
    <m/>
    <m/>
    <m/>
    <n v="67"/>
  </r>
  <r>
    <x v="4"/>
    <x v="67"/>
    <s v="In the absence of a national social security systems, workers affected by accidents or occupational disease receive adequate financial support"/>
    <x v="2"/>
    <x v="0"/>
    <x v="1"/>
    <m/>
    <m/>
    <m/>
    <m/>
    <n v="68"/>
  </r>
  <r>
    <x v="4"/>
    <x v="68"/>
    <s v="The organisation makes best efforts to ensure that women workers have access to childcare facilities "/>
    <x v="3"/>
    <x v="0"/>
    <x v="2"/>
    <m/>
    <m/>
    <m/>
    <m/>
    <n v="69"/>
  </r>
  <r>
    <x v="4"/>
    <x v="69"/>
    <s v="All workers must be included in a program of regular, voluntary medical checks, including care related to women's health"/>
    <x v="4"/>
    <x v="0"/>
    <x v="1"/>
    <m/>
    <m/>
    <m/>
    <m/>
    <n v="70"/>
  </r>
  <r>
    <x v="4"/>
    <x v="70"/>
    <s v="The organisation collaborates with community groups to provide alternative economic activities "/>
    <x v="4"/>
    <x v="0"/>
    <x v="1"/>
    <m/>
    <m/>
    <m/>
    <m/>
    <n v="71"/>
  </r>
  <r>
    <x v="4"/>
    <x v="71"/>
    <s v="The organisation should seek to provide non-hazardous work to people with chronic, hepatic, renal or respiratory disease, or physical or mental disability"/>
    <x v="4"/>
    <x v="0"/>
    <x v="0"/>
    <m/>
    <m/>
    <m/>
    <m/>
    <n v="72"/>
  </r>
  <r>
    <x v="4"/>
    <x v="72"/>
    <s v="Where peoples are threatened with displacement by the organisation's activities, the organisation must conform to international best practice"/>
    <x v="1"/>
    <x v="0"/>
    <x v="3"/>
    <m/>
    <m/>
    <m/>
    <m/>
    <n v="73"/>
  </r>
  <r>
    <x v="4"/>
    <x v="73"/>
    <s v="The organisation has free, prior and informed consent from project-affected communities and indigenous people for its operation"/>
    <x v="2"/>
    <x v="0"/>
    <x v="0"/>
    <m/>
    <m/>
    <m/>
    <m/>
    <n v="74"/>
  </r>
  <r>
    <x v="4"/>
    <x v="74"/>
    <s v="The organisation and its management recognise and protect sites of special culture or religious significance to local communities if these lie within the organisation's boundary"/>
    <x v="2"/>
    <x v="0"/>
    <x v="0"/>
    <m/>
    <m/>
    <m/>
    <m/>
    <n v="75"/>
  </r>
  <r>
    <x v="4"/>
    <x v="75"/>
    <s v="The organisation should work with local authorities or other relevant parties to establish the main risks to communities living close to its activities and the vulnerability of these communities to accidents and disasters. An action plan should be established to address the main risks and vulnerabilities identified"/>
    <x v="3"/>
    <x v="0"/>
    <x v="1"/>
    <m/>
    <m/>
    <m/>
    <m/>
    <n v="76"/>
  </r>
  <r>
    <x v="4"/>
    <x v="76"/>
    <s v="The organisation should take measures to educate the local community about health and safety risks related to its activites"/>
    <x v="3"/>
    <x v="0"/>
    <x v="2"/>
    <m/>
    <m/>
    <m/>
    <m/>
    <n v="77"/>
  </r>
  <r>
    <x v="5"/>
    <x v="77"/>
    <s v="Hazardous susbstances and contaminated tailings must not be discharged into water or where they can reach water bodies "/>
    <x v="0"/>
    <x v="0"/>
    <x v="0"/>
    <m/>
    <m/>
    <m/>
    <m/>
    <n v="78"/>
  </r>
  <r>
    <x v="5"/>
    <x v="78"/>
    <s v="The organisation must not use hazardous chemicals within 10 metres of ongoing human activity"/>
    <x v="1"/>
    <x v="0"/>
    <x v="0"/>
    <m/>
    <m/>
    <m/>
    <m/>
    <n v="79"/>
  </r>
  <r>
    <x v="5"/>
    <x v="79"/>
    <s v="Instruments and tools used for operations with a hazardous substance must not be used in any other domestic activity"/>
    <x v="1"/>
    <x v="0"/>
    <x v="0"/>
    <m/>
    <m/>
    <m/>
    <m/>
    <n v="80"/>
  </r>
  <r>
    <x v="5"/>
    <x v="80"/>
    <s v="Use, storage and disposal of hazardous chemicals must be planned for, using designated premises, proper equipment and trained personnel "/>
    <x v="2"/>
    <x v="0"/>
    <x v="0"/>
    <m/>
    <m/>
    <m/>
    <m/>
    <n v="81"/>
  </r>
  <r>
    <x v="5"/>
    <x v="81"/>
    <s v="Workers are trained in procedures for cleaning up spills of hazardous chemicals "/>
    <x v="1"/>
    <x v="0"/>
    <x v="0"/>
    <m/>
    <m/>
    <m/>
    <m/>
    <n v="82"/>
  </r>
  <r>
    <x v="5"/>
    <x v="82"/>
    <s v="Spills of hazardous substances are cleaned up as far as practicable"/>
    <x v="2"/>
    <x v="0"/>
    <x v="0"/>
    <m/>
    <m/>
    <m/>
    <m/>
    <n v="83"/>
  </r>
  <r>
    <x v="5"/>
    <x v="83"/>
    <s v="Explosives are handled only by persons holding a legally recognised blasting licence from, or accepted by, the national government "/>
    <x v="3"/>
    <x v="0"/>
    <x v="0"/>
    <m/>
    <m/>
    <m/>
    <m/>
    <n v="84"/>
  </r>
  <r>
    <x v="5"/>
    <x v="84"/>
    <s v="(AU only) the use of hazardous substances such as mercury and cyanide must be supervised by trained adults over 18 years of age and never pregnant or breastfeeding women or persons diagnosed with mental deficiencies or diseases of the gastrointestinal, urinary, nervous or respiratory systems "/>
    <x v="0"/>
    <x v="0"/>
    <x v="0"/>
    <m/>
    <m/>
    <m/>
    <m/>
    <n v="85"/>
  </r>
  <r>
    <x v="5"/>
    <x v="85"/>
    <s v="Disposal of tailings, chemical waste and wastewater must be properly planned and carried out by experienced persons"/>
    <x v="2"/>
    <x v="0"/>
    <x v="0"/>
    <m/>
    <m/>
    <m/>
    <m/>
    <n v="86"/>
  </r>
  <r>
    <x v="5"/>
    <x v="86"/>
    <s v="(AU only) a mercury-free concentration process precedes amalgamation to prevent whole ore amalgamation"/>
    <x v="0"/>
    <x v="0"/>
    <x v="0"/>
    <m/>
    <m/>
    <m/>
    <m/>
    <n v="87"/>
  </r>
  <r>
    <x v="5"/>
    <x v="87"/>
    <s v="(AU only) mercury amalgam burning must only be carried out in designated premises and not indoors or near urban, residential or recreational areas where people whitout protection may be affected (particularly pregnant woman, children and babies)"/>
    <x v="0"/>
    <x v="0"/>
    <x v="0"/>
    <m/>
    <m/>
    <m/>
    <m/>
    <n v="88"/>
  </r>
  <r>
    <x v="5"/>
    <x v="88"/>
    <s v="(AU only) retorts or alternative mercury recovery techniques must be used for decomposing amalgam"/>
    <x v="1"/>
    <x v="0"/>
    <x v="0"/>
    <m/>
    <m/>
    <m/>
    <m/>
    <n v="89"/>
  </r>
  <r>
    <x v="5"/>
    <x v="89"/>
    <s v="(AU only) if acid is used to purify gold, silver or other metals, pickling waste must be neutralised before disposal and procedures should be performed by trained personnel in a designated site"/>
    <x v="1"/>
    <x v="0"/>
    <x v="1"/>
    <m/>
    <m/>
    <m/>
    <m/>
    <n v="90"/>
  </r>
  <r>
    <x v="5"/>
    <x v="90"/>
    <s v="(AU only) acid must not be used for dissolving amalgam"/>
    <x v="1"/>
    <x v="0"/>
    <x v="1"/>
    <m/>
    <m/>
    <m/>
    <m/>
    <n v="91"/>
  </r>
  <r>
    <x v="5"/>
    <x v="91"/>
    <s v="(AU only) the organisation has started trials with alternative processing methods to minimise and eliminate the use of mercury in the recovery of gold"/>
    <x v="1"/>
    <x v="0"/>
    <x v="0"/>
    <m/>
    <m/>
    <m/>
    <m/>
    <n v="92"/>
  </r>
  <r>
    <x v="5"/>
    <x v="92"/>
    <s v="(AU only) cyanide solutions and tailings must be detoxified in a lined pond or tank before discharge"/>
    <x v="2"/>
    <x v="0"/>
    <x v="1"/>
    <m/>
    <m/>
    <m/>
    <m/>
    <n v="93"/>
  </r>
  <r>
    <x v="5"/>
    <x v="93"/>
    <s v="(AU only) cyanide leaching of unprocessed amalgamated tailings is not permitted "/>
    <x v="2"/>
    <x v="0"/>
    <x v="1"/>
    <m/>
    <m/>
    <m/>
    <m/>
    <n v="94"/>
  </r>
  <r>
    <x v="5"/>
    <x v="94"/>
    <s v="(AU only) all gold is processed with alternative processing methods (i.e. al gold is mercury free)"/>
    <x v="3"/>
    <x v="0"/>
    <x v="3"/>
    <m/>
    <m/>
    <m/>
    <m/>
    <n v="95"/>
  </r>
  <r>
    <x v="5"/>
    <x v="95"/>
    <s v="The organisation must not operate in any area protected under national or international legislation unless expressly authorised by the conservation body"/>
    <x v="0"/>
    <x v="0"/>
    <x v="0"/>
    <m/>
    <m/>
    <m/>
    <m/>
    <n v="96"/>
  </r>
  <r>
    <x v="5"/>
    <x v="96"/>
    <s v="The organisation conducts an environmental impact assessment for its operation and puts in place mitigation measures where appropriate to limit damage"/>
    <x v="1"/>
    <x v="0"/>
    <x v="1"/>
    <m/>
    <m/>
    <m/>
    <m/>
    <n v="97"/>
  </r>
  <r>
    <x v="5"/>
    <x v="97"/>
    <s v="The environmental impact of new technology is assessed prior to procurement and, as far as is viable, the most environmentally sensitive technology used "/>
    <x v="3"/>
    <x v="0"/>
    <x v="1"/>
    <m/>
    <m/>
    <m/>
    <m/>
    <n v="98"/>
  </r>
  <r>
    <x v="5"/>
    <x v="98"/>
    <s v=" A committee in charge of decision-making and implementing actions on environmental development for the whole operational area must be established "/>
    <x v="2"/>
    <x v="0"/>
    <x v="2"/>
    <m/>
    <m/>
    <m/>
    <m/>
    <n v="99"/>
  </r>
  <r>
    <x v="5"/>
    <x v="99"/>
    <s v="Open pits and underground mine apertures must be refilled or blocked immediately after the termination of extractive actvities to enable ecological regeneration and ensure hazard prevention"/>
    <x v="3"/>
    <x v="0"/>
    <x v="2"/>
    <m/>
    <m/>
    <m/>
    <m/>
    <n v="100"/>
  </r>
  <r>
    <x v="5"/>
    <x v="100"/>
    <s v="Where mining could lead to acid mine drainage (AMD), effective methods to isolate acid-forming materials from water are employed as far as is practicable"/>
    <x v="3"/>
    <x v="0"/>
    <x v="1"/>
    <m/>
    <m/>
    <m/>
    <m/>
    <n v="101"/>
  </r>
  <r>
    <x v="5"/>
    <x v="101"/>
    <s v="Dust release from the organisation's activities is minimised as far as reasonably practicable"/>
    <x v="3"/>
    <x v="0"/>
    <x v="0"/>
    <m/>
    <m/>
    <m/>
    <m/>
    <n v="102"/>
  </r>
  <r>
    <x v="5"/>
    <x v="102"/>
    <s v="CO2 production from the organisation's activities is minimised as far as reasonably practicable"/>
    <x v="3"/>
    <x v="0"/>
    <x v="2"/>
    <m/>
    <m/>
    <m/>
    <m/>
    <n v="103"/>
  </r>
  <r>
    <x v="5"/>
    <x v="103"/>
    <s v="Wastewater production from the organisation's activities is minimised"/>
    <x v="3"/>
    <x v="0"/>
    <x v="0"/>
    <m/>
    <m/>
    <m/>
    <m/>
    <n v="104"/>
  </r>
  <r>
    <x v="5"/>
    <x v="104"/>
    <s v="The organisation puts effective steps in place to prevent drainage of the local water table in areas of high vegetation value, aand water is conserved where drought is likely"/>
    <x v="1"/>
    <x v="0"/>
    <x v="0"/>
    <m/>
    <m/>
    <m/>
    <m/>
    <n v="105"/>
  </r>
  <r>
    <x v="5"/>
    <x v="105"/>
    <s v="Excavated areas must be rehabilitated through topographic restoration as appropriate for the ecosystem or intended use "/>
    <x v="4"/>
    <x v="0"/>
    <x v="2"/>
    <m/>
    <m/>
    <m/>
    <m/>
    <n v="106"/>
  </r>
  <r>
    <x v="5"/>
    <x v="106"/>
    <s v="Areas which have been cleared for the organisation's activities must be re-vegetated as appropriate for the ecosystem or restored in accordance with land planning priorities of local communities authorities"/>
    <x v="4"/>
    <x v="0"/>
    <x v="1"/>
    <m/>
    <m/>
    <m/>
    <m/>
    <n v="107"/>
  </r>
  <r>
    <x v="5"/>
    <x v="107"/>
    <s v="The organisation must report on the water sources used for its activities "/>
    <x v="4"/>
    <x v="0"/>
    <x v="0"/>
    <m/>
    <m/>
    <m/>
    <m/>
    <n v="108"/>
  </r>
  <r>
    <x v="5"/>
    <x v="108"/>
    <s v="The organisation must monitor and record the quantity and quality of local water sources to identify points of criticality in their use "/>
    <x v="4"/>
    <x v="0"/>
    <x v="2"/>
    <m/>
    <m/>
    <m/>
    <m/>
    <n v="109"/>
  </r>
  <r>
    <x v="5"/>
    <x v="109"/>
    <s v="Timber used in the organisation's activities must be sourced from sustainable forestry programs"/>
    <x v="3"/>
    <x v="0"/>
    <x v="1"/>
    <m/>
    <m/>
    <m/>
    <m/>
    <n v="1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41EDEA8-E980-B043-9442-BA39A6D334CA}" name="PivotTable10"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9:G17" firstHeaderRow="1" firstDataRow="2" firstDataCol="1" rowPageCount="1" colPageCount="1"/>
  <pivotFields count="11">
    <pivotField axis="axisRow" showAll="0">
      <items count="7">
        <item x="3"/>
        <item x="5"/>
        <item x="2"/>
        <item x="1"/>
        <item x="0"/>
        <item x="4"/>
        <item t="default"/>
      </items>
    </pivotField>
    <pivotField showAll="0">
      <items count="111">
        <item x="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6"/>
        <item x="37"/>
        <item x="38"/>
        <item x="39"/>
        <item x="40"/>
        <item x="41"/>
        <item x="42"/>
        <item x="43"/>
        <item x="44"/>
        <item x="45"/>
        <item x="46"/>
        <item x="47"/>
        <item x="48"/>
        <item x="49"/>
        <item x="50"/>
        <item x="51"/>
        <item x="52"/>
        <item x="53"/>
        <item x="54"/>
        <item x="63"/>
        <item x="64"/>
        <item x="55"/>
        <item x="56"/>
        <item x="57"/>
        <item x="58"/>
        <item x="59"/>
        <item x="60"/>
        <item x="61"/>
        <item x="62"/>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t="default"/>
      </items>
    </pivotField>
    <pivotField showAll="0"/>
    <pivotField axis="axisPage" showAll="0">
      <items count="6">
        <item x="2"/>
        <item x="3"/>
        <item x="4"/>
        <item x="0"/>
        <item x="1"/>
        <item t="default"/>
      </items>
    </pivotField>
    <pivotField showAll="0">
      <items count="2">
        <item x="0"/>
        <item t="default"/>
      </items>
    </pivotField>
    <pivotField axis="axisCol" dataField="1" showAll="0">
      <items count="5">
        <item x="0"/>
        <item x="2"/>
        <item x="1"/>
        <item x="3"/>
        <item t="default"/>
      </items>
    </pivotField>
    <pivotField showAll="0"/>
    <pivotField showAll="0"/>
    <pivotField showAll="0"/>
    <pivotField showAll="0"/>
    <pivotField showAll="0"/>
  </pivotFields>
  <rowFields count="1">
    <field x="0"/>
  </rowFields>
  <rowItems count="7">
    <i>
      <x/>
    </i>
    <i>
      <x v="1"/>
    </i>
    <i>
      <x v="2"/>
    </i>
    <i>
      <x v="3"/>
    </i>
    <i>
      <x v="4"/>
    </i>
    <i>
      <x v="5"/>
    </i>
    <i t="grand">
      <x/>
    </i>
  </rowItems>
  <colFields count="1">
    <field x="5"/>
  </colFields>
  <colItems count="5">
    <i>
      <x/>
    </i>
    <i>
      <x v="1"/>
    </i>
    <i>
      <x v="2"/>
    </i>
    <i>
      <x v="3"/>
    </i>
    <i t="grand">
      <x/>
    </i>
  </colItems>
  <pageFields count="1">
    <pageField fld="3" hier="-1"/>
  </pageFields>
  <dataFields count="1">
    <dataField name="Count of Performance Determination" fld="5" subtotal="count" baseField="0" baseItem="0"/>
  </dataFields>
  <formats count="1">
    <format dxfId="14">
      <pivotArea dataOnly="0" labelOnly="1" outline="0"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98ACA32-201C-4441-8259-3BA07E50BF18}" name="PivotTable9"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F12" firstHeaderRow="1" firstDataRow="2" firstDataCol="1" rowPageCount="1" colPageCount="1"/>
  <pivotFields count="11">
    <pivotField axis="axisRow" showAll="0">
      <items count="7">
        <item x="3"/>
        <item x="5"/>
        <item x="2"/>
        <item x="1"/>
        <item x="0"/>
        <item x="4"/>
        <item t="default"/>
      </items>
    </pivotField>
    <pivotField showAll="0">
      <items count="111">
        <item x="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6"/>
        <item x="37"/>
        <item x="38"/>
        <item x="39"/>
        <item x="40"/>
        <item x="41"/>
        <item x="42"/>
        <item x="43"/>
        <item x="44"/>
        <item x="45"/>
        <item x="46"/>
        <item x="47"/>
        <item x="48"/>
        <item x="49"/>
        <item x="50"/>
        <item x="51"/>
        <item x="52"/>
        <item x="53"/>
        <item x="54"/>
        <item x="63"/>
        <item x="64"/>
        <item x="55"/>
        <item x="56"/>
        <item x="57"/>
        <item x="58"/>
        <item x="59"/>
        <item x="60"/>
        <item x="61"/>
        <item x="62"/>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t="default"/>
      </items>
    </pivotField>
    <pivotField showAll="0"/>
    <pivotField axis="axisPage" showAll="0">
      <items count="6">
        <item x="2"/>
        <item x="3"/>
        <item x="4"/>
        <item x="0"/>
        <item x="1"/>
        <item t="default"/>
      </items>
    </pivotField>
    <pivotField showAll="0">
      <items count="2">
        <item x="0"/>
        <item t="default"/>
      </items>
    </pivotField>
    <pivotField axis="axisCol" dataField="1" showAll="0">
      <items count="5">
        <item x="0"/>
        <item x="2"/>
        <item x="1"/>
        <item x="3"/>
        <item t="default"/>
      </items>
    </pivotField>
    <pivotField showAll="0"/>
    <pivotField showAll="0"/>
    <pivotField showAll="0"/>
    <pivotField showAll="0"/>
    <pivotField showAll="0"/>
  </pivotFields>
  <rowFields count="1">
    <field x="0"/>
  </rowFields>
  <rowItems count="7">
    <i>
      <x/>
    </i>
    <i>
      <x v="1"/>
    </i>
    <i>
      <x v="2"/>
    </i>
    <i>
      <x v="3"/>
    </i>
    <i>
      <x v="4"/>
    </i>
    <i>
      <x v="5"/>
    </i>
    <i t="grand">
      <x/>
    </i>
  </rowItems>
  <colFields count="1">
    <field x="5"/>
  </colFields>
  <colItems count="5">
    <i>
      <x/>
    </i>
    <i>
      <x v="1"/>
    </i>
    <i>
      <x v="2"/>
    </i>
    <i>
      <x v="3"/>
    </i>
    <i t="grand">
      <x/>
    </i>
  </colItems>
  <pageFields count="1">
    <pageField fld="3" hier="-1"/>
  </pageFields>
  <dataFields count="1">
    <dataField name="Count of Performance Determination"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9BC2C73-6063-CD4B-9B62-D5535CBDD717}" name="Table1" displayName="Table1" ref="B6:N116" totalsRowShown="0" headerRowDxfId="15" dataDxfId="0">
  <autoFilter ref="B6:N116" xr:uid="{FE27A316-AEA7-A04F-A45B-503A62F44D5D}"/>
  <sortState xmlns:xlrd2="http://schemas.microsoft.com/office/spreadsheetml/2017/richdata2" ref="B7:N116">
    <sortCondition ref="N6:N116"/>
  </sortState>
  <tableColumns count="13">
    <tableColumn id="1" xr3:uid="{C726A4A0-E0FF-7C43-88B9-B29F5CF769D1}" name="Principle" dataDxfId="13"/>
    <tableColumn id="2" xr3:uid="{0BB06AB7-ECF3-184F-B857-122A9B4B911F}" name="Number" dataDxfId="12"/>
    <tableColumn id="3" xr3:uid="{F4DB06E9-A110-F048-88EC-8826007CEA57}" name="Criterion" dataDxfId="11"/>
    <tableColumn id="4" xr3:uid="{4CA838A9-2D13-CC48-963B-030EE31992F9}" name="Escalator Level" dataDxfId="10"/>
    <tableColumn id="5" xr3:uid="{1FA2695B-517D-8E46-B7F7-B85101D6A805}" name="Performance Baseline (MM/YYYY)" dataDxfId="9"/>
    <tableColumn id="6" xr3:uid="{E15C2617-AE4E-EA45-98F3-461D41924141}" name="Performance Determination" dataDxfId="8"/>
    <tableColumn id="7" xr3:uid="{4D19F085-24AA-2A41-AF2F-D3BCA2CCDB06}" name="Date of Assessment (DD/MM/YYYY)" dataDxfId="7"/>
    <tableColumn id="12" xr3:uid="{F524E8AA-21B5-4546-ACE2-6D5C826B4EC3}" name="Sample of Evidence" dataDxfId="6"/>
    <tableColumn id="8" xr3:uid="{8270610F-E8A5-8B4C-8956-5C11FECB9674}" name="Description of Evidence Provided" dataDxfId="5"/>
    <tableColumn id="13" xr3:uid="{002FDFEB-BFB5-4431-BD84-639B8D5F0020}" name="Evidence Type" dataDxfId="4"/>
    <tableColumn id="9" xr3:uid="{1D77D20D-DF42-C147-B3D9-777472399801}" name="Dropbox-Link" dataDxfId="3"/>
    <tableColumn id="10" xr3:uid="{E96E698C-B27E-7144-A9AA-439E681286B5}" name="Valid Till" dataDxfId="2"/>
    <tableColumn id="11" xr3:uid="{860750B3-427E-574E-A60B-561BDF3A6048}" name="#ID"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EC22E-55D6-0843-B27F-D0671F89A2C3}">
  <dimension ref="C7:C30"/>
  <sheetViews>
    <sheetView showGridLines="0" workbookViewId="0">
      <selection activeCell="C7" sqref="C7"/>
    </sheetView>
  </sheetViews>
  <sheetFormatPr baseColWidth="10" defaultColWidth="11" defaultRowHeight="16" x14ac:dyDescent="0.2"/>
  <cols>
    <col min="2" max="2" width="13" bestFit="1" customWidth="1"/>
  </cols>
  <sheetData>
    <row r="7" spans="3:3" x14ac:dyDescent="0.2">
      <c r="C7" s="20" t="s">
        <v>0</v>
      </c>
    </row>
    <row r="30" spans="3:3" x14ac:dyDescent="0.2">
      <c r="C30" s="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66F8-9814-4043-ADDD-1865883E8860}">
  <dimension ref="B2:N116"/>
  <sheetViews>
    <sheetView showGridLines="0" tabSelected="1" workbookViewId="0">
      <selection activeCell="I83" sqref="I83"/>
    </sheetView>
  </sheetViews>
  <sheetFormatPr baseColWidth="10" defaultColWidth="11" defaultRowHeight="16" x14ac:dyDescent="0.2"/>
  <cols>
    <col min="2" max="2" width="24" bestFit="1" customWidth="1"/>
    <col min="3" max="3" width="15.6640625" bestFit="1" customWidth="1"/>
    <col min="4" max="4" width="77.6640625" style="1" customWidth="1"/>
    <col min="5" max="5" width="18.5" customWidth="1"/>
    <col min="6" max="6" width="21" hidden="1" customWidth="1"/>
    <col min="7" max="7" width="23.1640625" customWidth="1"/>
    <col min="8" max="8" width="21.1640625" customWidth="1"/>
    <col min="9" max="9" width="42.6640625" customWidth="1"/>
    <col min="10" max="10" width="44" customWidth="1"/>
    <col min="11" max="11" width="29.1640625" customWidth="1"/>
    <col min="12" max="12" width="18.1640625" customWidth="1"/>
    <col min="13" max="13" width="6.5" bestFit="1" customWidth="1"/>
  </cols>
  <sheetData>
    <row r="2" spans="2:14" x14ac:dyDescent="0.2">
      <c r="C2" t="s">
        <v>1</v>
      </c>
      <c r="D2" s="10"/>
      <c r="E2" t="s">
        <v>2</v>
      </c>
      <c r="F2" s="19"/>
      <c r="G2" s="18"/>
    </row>
    <row r="4" spans="2:14" x14ac:dyDescent="0.2">
      <c r="C4" t="s">
        <v>3</v>
      </c>
      <c r="D4" s="10"/>
      <c r="E4" t="s">
        <v>4</v>
      </c>
      <c r="F4" s="11"/>
      <c r="G4" s="18"/>
    </row>
    <row r="6" spans="2:14" s="3" customFormat="1" ht="34" x14ac:dyDescent="0.2">
      <c r="B6" s="3" t="s">
        <v>5</v>
      </c>
      <c r="C6" s="3" t="s">
        <v>6</v>
      </c>
      <c r="D6" s="4" t="s">
        <v>7</v>
      </c>
      <c r="E6" s="3" t="s">
        <v>8</v>
      </c>
      <c r="F6" s="3" t="s">
        <v>9</v>
      </c>
      <c r="G6" s="3" t="s">
        <v>10</v>
      </c>
      <c r="H6" s="3" t="s">
        <v>11</v>
      </c>
      <c r="I6" s="3" t="s">
        <v>268</v>
      </c>
      <c r="J6" s="3" t="s">
        <v>12</v>
      </c>
      <c r="K6" s="3" t="s">
        <v>332</v>
      </c>
      <c r="L6" s="3" t="s">
        <v>13</v>
      </c>
      <c r="M6" s="3" t="s">
        <v>14</v>
      </c>
      <c r="N6" s="3" t="s">
        <v>15</v>
      </c>
    </row>
    <row r="7" spans="2:14" ht="34" x14ac:dyDescent="0.2">
      <c r="B7" s="28" t="s">
        <v>16</v>
      </c>
      <c r="C7" s="28" t="s">
        <v>17</v>
      </c>
      <c r="D7" s="29" t="s">
        <v>18</v>
      </c>
      <c r="E7" s="36" t="s">
        <v>19</v>
      </c>
      <c r="F7" s="30"/>
      <c r="G7" s="30"/>
      <c r="H7" s="31"/>
      <c r="I7" s="32" t="s">
        <v>333</v>
      </c>
      <c r="J7" s="33"/>
      <c r="K7" s="33"/>
      <c r="L7" s="30"/>
      <c r="M7" s="30"/>
      <c r="N7" s="28">
        <v>1</v>
      </c>
    </row>
    <row r="8" spans="2:14" ht="17" x14ac:dyDescent="0.2">
      <c r="B8" s="28" t="s">
        <v>16</v>
      </c>
      <c r="C8" s="28" t="s">
        <v>21</v>
      </c>
      <c r="D8" s="29" t="s">
        <v>22</v>
      </c>
      <c r="E8" s="36" t="s">
        <v>19</v>
      </c>
      <c r="F8" s="30"/>
      <c r="G8" s="30"/>
      <c r="H8" s="31"/>
      <c r="I8" s="32" t="s">
        <v>334</v>
      </c>
      <c r="J8" s="33"/>
      <c r="K8" s="33"/>
      <c r="L8" s="30"/>
      <c r="M8" s="30"/>
      <c r="N8" s="28">
        <v>2</v>
      </c>
    </row>
    <row r="9" spans="2:14" ht="51" x14ac:dyDescent="0.2">
      <c r="B9" s="28" t="s">
        <v>16</v>
      </c>
      <c r="C9" s="28" t="s">
        <v>23</v>
      </c>
      <c r="D9" s="29" t="s">
        <v>24</v>
      </c>
      <c r="E9" s="36" t="s">
        <v>19</v>
      </c>
      <c r="F9" s="30"/>
      <c r="G9" s="30"/>
      <c r="H9" s="31"/>
      <c r="I9" s="32" t="s">
        <v>335</v>
      </c>
      <c r="J9" s="33"/>
      <c r="K9" s="33"/>
      <c r="L9" s="30"/>
      <c r="M9" s="30"/>
      <c r="N9" s="28">
        <v>3</v>
      </c>
    </row>
    <row r="10" spans="2:14" ht="17" x14ac:dyDescent="0.2">
      <c r="B10" s="28" t="s">
        <v>16</v>
      </c>
      <c r="C10" s="28" t="s">
        <v>25</v>
      </c>
      <c r="D10" s="29" t="s">
        <v>26</v>
      </c>
      <c r="E10" s="36" t="s">
        <v>19</v>
      </c>
      <c r="F10" s="30"/>
      <c r="G10" s="30"/>
      <c r="H10" s="31"/>
      <c r="I10" s="32" t="s">
        <v>269</v>
      </c>
      <c r="J10" s="33"/>
      <c r="K10" s="33"/>
      <c r="L10" s="30"/>
      <c r="M10" s="30"/>
      <c r="N10" s="28">
        <v>4</v>
      </c>
    </row>
    <row r="11" spans="2:14" ht="34" x14ac:dyDescent="0.2">
      <c r="B11" s="28" t="s">
        <v>16</v>
      </c>
      <c r="C11" s="28" t="s">
        <v>27</v>
      </c>
      <c r="D11" s="29" t="s">
        <v>28</v>
      </c>
      <c r="E11" s="26" t="s">
        <v>29</v>
      </c>
      <c r="F11" s="30"/>
      <c r="G11" s="30"/>
      <c r="H11" s="31"/>
      <c r="I11" s="32" t="s">
        <v>336</v>
      </c>
      <c r="J11" s="33"/>
      <c r="K11" s="33"/>
      <c r="L11" s="30"/>
      <c r="M11" s="30"/>
      <c r="N11" s="28">
        <v>5</v>
      </c>
    </row>
    <row r="12" spans="2:14" ht="34" x14ac:dyDescent="0.2">
      <c r="B12" s="28" t="s">
        <v>16</v>
      </c>
      <c r="C12" s="28" t="s">
        <v>30</v>
      </c>
      <c r="D12" s="29" t="s">
        <v>31</v>
      </c>
      <c r="E12" s="36" t="s">
        <v>19</v>
      </c>
      <c r="F12" s="30"/>
      <c r="G12" s="30"/>
      <c r="H12" s="31"/>
      <c r="I12" s="32" t="s">
        <v>270</v>
      </c>
      <c r="J12" s="33"/>
      <c r="K12" s="33"/>
      <c r="L12" s="30"/>
      <c r="M12" s="30"/>
      <c r="N12" s="28">
        <v>6</v>
      </c>
    </row>
    <row r="13" spans="2:14" ht="34" x14ac:dyDescent="0.2">
      <c r="B13" s="28" t="s">
        <v>16</v>
      </c>
      <c r="C13" s="28" t="s">
        <v>32</v>
      </c>
      <c r="D13" s="29" t="s">
        <v>33</v>
      </c>
      <c r="E13" s="26" t="s">
        <v>29</v>
      </c>
      <c r="F13" s="30"/>
      <c r="G13" s="30"/>
      <c r="H13" s="31"/>
      <c r="I13" s="32" t="s">
        <v>337</v>
      </c>
      <c r="J13" s="33"/>
      <c r="K13" s="33"/>
      <c r="L13" s="30"/>
      <c r="M13" s="30"/>
      <c r="N13" s="28">
        <v>7</v>
      </c>
    </row>
    <row r="14" spans="2:14" ht="51" x14ac:dyDescent="0.2">
      <c r="B14" s="28" t="s">
        <v>16</v>
      </c>
      <c r="C14" s="28" t="s">
        <v>34</v>
      </c>
      <c r="D14" s="29" t="s">
        <v>35</v>
      </c>
      <c r="E14" s="27" t="s">
        <v>36</v>
      </c>
      <c r="F14" s="30"/>
      <c r="G14" s="30"/>
      <c r="H14" s="31"/>
      <c r="I14" s="32" t="s">
        <v>338</v>
      </c>
      <c r="J14" s="33"/>
      <c r="K14" s="33"/>
      <c r="L14" s="30"/>
      <c r="M14" s="30"/>
      <c r="N14" s="28">
        <v>8</v>
      </c>
    </row>
    <row r="15" spans="2:14" ht="51" x14ac:dyDescent="0.2">
      <c r="B15" s="28" t="s">
        <v>16</v>
      </c>
      <c r="C15" s="28" t="s">
        <v>38</v>
      </c>
      <c r="D15" s="29" t="s">
        <v>39</v>
      </c>
      <c r="E15" s="26" t="s">
        <v>29</v>
      </c>
      <c r="F15" s="30"/>
      <c r="G15" s="30"/>
      <c r="H15" s="31"/>
      <c r="I15" s="32" t="s">
        <v>339</v>
      </c>
      <c r="J15" s="33"/>
      <c r="K15" s="33"/>
      <c r="L15" s="30"/>
      <c r="M15" s="30"/>
      <c r="N15" s="28">
        <v>9</v>
      </c>
    </row>
    <row r="16" spans="2:14" ht="34" x14ac:dyDescent="0.2">
      <c r="B16" s="28" t="s">
        <v>16</v>
      </c>
      <c r="C16" s="28" t="s">
        <v>41</v>
      </c>
      <c r="D16" s="29" t="s">
        <v>42</v>
      </c>
      <c r="E16" s="36" t="s">
        <v>19</v>
      </c>
      <c r="F16" s="30"/>
      <c r="G16" s="30"/>
      <c r="H16" s="31"/>
      <c r="I16" s="32" t="s">
        <v>340</v>
      </c>
      <c r="J16" s="33"/>
      <c r="K16" s="33"/>
      <c r="L16" s="30"/>
      <c r="M16" s="30"/>
      <c r="N16" s="28">
        <v>10</v>
      </c>
    </row>
    <row r="17" spans="2:14" ht="34" x14ac:dyDescent="0.2">
      <c r="B17" s="28" t="s">
        <v>16</v>
      </c>
      <c r="C17" s="28" t="s">
        <v>43</v>
      </c>
      <c r="D17" s="29" t="s">
        <v>44</v>
      </c>
      <c r="E17" s="26" t="s">
        <v>29</v>
      </c>
      <c r="F17" s="30"/>
      <c r="G17" s="30"/>
      <c r="H17" s="31"/>
      <c r="I17" s="32" t="s">
        <v>341</v>
      </c>
      <c r="J17" s="34"/>
      <c r="K17" s="34"/>
      <c r="L17" s="30"/>
      <c r="M17" s="30"/>
      <c r="N17" s="28">
        <v>11</v>
      </c>
    </row>
    <row r="18" spans="2:14" ht="51" x14ac:dyDescent="0.2">
      <c r="B18" s="28" t="s">
        <v>16</v>
      </c>
      <c r="C18" s="28" t="s">
        <v>45</v>
      </c>
      <c r="D18" s="29" t="s">
        <v>46</v>
      </c>
      <c r="E18" s="27" t="s">
        <v>36</v>
      </c>
      <c r="F18" s="30"/>
      <c r="G18" s="30"/>
      <c r="H18" s="31"/>
      <c r="I18" s="32" t="s">
        <v>342</v>
      </c>
      <c r="J18" s="33"/>
      <c r="K18" s="33"/>
      <c r="L18" s="30"/>
      <c r="M18" s="30"/>
      <c r="N18" s="28">
        <v>12</v>
      </c>
    </row>
    <row r="19" spans="2:14" ht="51" x14ac:dyDescent="0.2">
      <c r="B19" s="28" t="s">
        <v>47</v>
      </c>
      <c r="C19" s="28" t="s">
        <v>48</v>
      </c>
      <c r="D19" s="29" t="s">
        <v>49</v>
      </c>
      <c r="E19" s="36" t="s">
        <v>19</v>
      </c>
      <c r="F19" s="30"/>
      <c r="G19" s="30"/>
      <c r="H19" s="31"/>
      <c r="I19" s="32" t="s">
        <v>343</v>
      </c>
      <c r="J19" s="33"/>
      <c r="K19" s="33"/>
      <c r="L19" s="30"/>
      <c r="M19" s="30"/>
      <c r="N19" s="28">
        <v>13</v>
      </c>
    </row>
    <row r="20" spans="2:14" ht="34" x14ac:dyDescent="0.2">
      <c r="B20" s="28" t="s">
        <v>47</v>
      </c>
      <c r="C20" s="28" t="s">
        <v>50</v>
      </c>
      <c r="D20" s="29" t="s">
        <v>51</v>
      </c>
      <c r="E20" s="36" t="s">
        <v>19</v>
      </c>
      <c r="F20" s="30"/>
      <c r="G20" s="30"/>
      <c r="H20" s="31"/>
      <c r="I20" s="32" t="s">
        <v>344</v>
      </c>
      <c r="J20" s="33"/>
      <c r="K20" s="33"/>
      <c r="L20" s="30"/>
      <c r="M20" s="30"/>
      <c r="N20" s="28">
        <v>14</v>
      </c>
    </row>
    <row r="21" spans="2:14" ht="34" x14ac:dyDescent="0.2">
      <c r="B21" s="28" t="s">
        <v>47</v>
      </c>
      <c r="C21" s="28" t="s">
        <v>52</v>
      </c>
      <c r="D21" s="29" t="s">
        <v>53</v>
      </c>
      <c r="E21" s="26" t="s">
        <v>29</v>
      </c>
      <c r="F21" s="30"/>
      <c r="G21" s="30"/>
      <c r="H21" s="31"/>
      <c r="I21" s="32" t="s">
        <v>345</v>
      </c>
      <c r="J21" s="33"/>
      <c r="K21" s="33"/>
      <c r="L21" s="30"/>
      <c r="M21" s="30"/>
      <c r="N21" s="28">
        <v>15</v>
      </c>
    </row>
    <row r="22" spans="2:14" ht="34" x14ac:dyDescent="0.2">
      <c r="B22" s="28" t="s">
        <v>47</v>
      </c>
      <c r="C22" s="28" t="s">
        <v>54</v>
      </c>
      <c r="D22" s="29" t="s">
        <v>55</v>
      </c>
      <c r="E22" s="26" t="s">
        <v>29</v>
      </c>
      <c r="F22" s="30"/>
      <c r="G22" s="30"/>
      <c r="H22" s="31"/>
      <c r="I22" s="32" t="s">
        <v>346</v>
      </c>
      <c r="J22" s="33"/>
      <c r="K22" s="33"/>
      <c r="L22" s="30"/>
      <c r="M22" s="30"/>
      <c r="N22" s="28">
        <v>16</v>
      </c>
    </row>
    <row r="23" spans="2:14" ht="34" x14ac:dyDescent="0.2">
      <c r="B23" s="28" t="s">
        <v>47</v>
      </c>
      <c r="C23" s="28" t="s">
        <v>56</v>
      </c>
      <c r="D23" s="29" t="s">
        <v>57</v>
      </c>
      <c r="E23" s="26" t="s">
        <v>29</v>
      </c>
      <c r="F23" s="30"/>
      <c r="G23" s="30"/>
      <c r="H23" s="31"/>
      <c r="I23" s="32" t="s">
        <v>271</v>
      </c>
      <c r="J23" s="33"/>
      <c r="K23" s="33"/>
      <c r="L23" s="30"/>
      <c r="M23" s="30"/>
      <c r="N23" s="28">
        <v>17</v>
      </c>
    </row>
    <row r="24" spans="2:14" ht="34" x14ac:dyDescent="0.2">
      <c r="B24" s="28" t="s">
        <v>47</v>
      </c>
      <c r="C24" s="28" t="s">
        <v>58</v>
      </c>
      <c r="D24" s="29" t="s">
        <v>59</v>
      </c>
      <c r="E24" s="26" t="s">
        <v>29</v>
      </c>
      <c r="F24" s="30"/>
      <c r="G24" s="30"/>
      <c r="H24" s="31"/>
      <c r="I24" s="31" t="s">
        <v>272</v>
      </c>
      <c r="J24" s="33"/>
      <c r="K24" s="33"/>
      <c r="L24" s="30"/>
      <c r="M24" s="30"/>
      <c r="N24" s="28">
        <v>18</v>
      </c>
    </row>
    <row r="25" spans="2:14" ht="34" x14ac:dyDescent="0.2">
      <c r="B25" s="28" t="s">
        <v>47</v>
      </c>
      <c r="C25" s="28" t="s">
        <v>60</v>
      </c>
      <c r="D25" s="29" t="s">
        <v>61</v>
      </c>
      <c r="E25" s="36" t="s">
        <v>19</v>
      </c>
      <c r="F25" s="30"/>
      <c r="G25" s="30"/>
      <c r="H25" s="31"/>
      <c r="I25" s="32" t="s">
        <v>347</v>
      </c>
      <c r="J25" s="33"/>
      <c r="K25" s="33"/>
      <c r="L25" s="30"/>
      <c r="M25" s="30"/>
      <c r="N25" s="28">
        <v>19</v>
      </c>
    </row>
    <row r="26" spans="2:14" ht="17" x14ac:dyDescent="0.2">
      <c r="B26" s="28" t="s">
        <v>47</v>
      </c>
      <c r="C26" s="28" t="s">
        <v>62</v>
      </c>
      <c r="D26" s="29" t="s">
        <v>63</v>
      </c>
      <c r="E26" s="27" t="s">
        <v>36</v>
      </c>
      <c r="F26" s="30"/>
      <c r="G26" s="30"/>
      <c r="H26" s="31"/>
      <c r="I26" s="31" t="s">
        <v>273</v>
      </c>
      <c r="J26" s="33"/>
      <c r="K26" s="33"/>
      <c r="L26" s="30"/>
      <c r="M26" s="30"/>
      <c r="N26" s="28">
        <v>20</v>
      </c>
    </row>
    <row r="27" spans="2:14" ht="34" x14ac:dyDescent="0.2">
      <c r="B27" s="28" t="s">
        <v>47</v>
      </c>
      <c r="C27" s="28" t="s">
        <v>64</v>
      </c>
      <c r="D27" s="29" t="s">
        <v>65</v>
      </c>
      <c r="E27" s="27" t="s">
        <v>36</v>
      </c>
      <c r="F27" s="30"/>
      <c r="G27" s="30"/>
      <c r="H27" s="31"/>
      <c r="I27" s="32" t="s">
        <v>348</v>
      </c>
      <c r="J27" s="33"/>
      <c r="K27" s="33"/>
      <c r="L27" s="30"/>
      <c r="M27" s="30"/>
      <c r="N27" s="28">
        <v>21</v>
      </c>
    </row>
    <row r="28" spans="2:14" ht="34" x14ac:dyDescent="0.2">
      <c r="B28" s="28" t="s">
        <v>47</v>
      </c>
      <c r="C28" s="28" t="s">
        <v>66</v>
      </c>
      <c r="D28" s="29" t="s">
        <v>67</v>
      </c>
      <c r="E28" s="36" t="s">
        <v>19</v>
      </c>
      <c r="F28" s="30"/>
      <c r="G28" s="30"/>
      <c r="H28" s="31"/>
      <c r="I28" s="31" t="s">
        <v>274</v>
      </c>
      <c r="J28" s="33"/>
      <c r="K28" s="33"/>
      <c r="L28" s="30"/>
      <c r="M28" s="30"/>
      <c r="N28" s="28">
        <v>22</v>
      </c>
    </row>
    <row r="29" spans="2:14" ht="51" x14ac:dyDescent="0.2">
      <c r="B29" s="28" t="s">
        <v>47</v>
      </c>
      <c r="C29" s="28" t="s">
        <v>68</v>
      </c>
      <c r="D29" s="29" t="s">
        <v>69</v>
      </c>
      <c r="E29" s="26" t="s">
        <v>29</v>
      </c>
      <c r="F29" s="30"/>
      <c r="G29" s="30"/>
      <c r="H29" s="31"/>
      <c r="I29" s="32" t="s">
        <v>349</v>
      </c>
      <c r="J29" s="33"/>
      <c r="K29" s="33"/>
      <c r="L29" s="30"/>
      <c r="M29" s="30"/>
      <c r="N29" s="28">
        <v>23</v>
      </c>
    </row>
    <row r="30" spans="2:14" ht="34" x14ac:dyDescent="0.2">
      <c r="B30" s="28" t="s">
        <v>47</v>
      </c>
      <c r="C30" s="28" t="s">
        <v>70</v>
      </c>
      <c r="D30" s="29" t="s">
        <v>71</v>
      </c>
      <c r="E30" s="26" t="s">
        <v>29</v>
      </c>
      <c r="F30" s="30"/>
      <c r="G30" s="30"/>
      <c r="H30" s="31"/>
      <c r="I30" s="32" t="s">
        <v>349</v>
      </c>
      <c r="J30" s="33"/>
      <c r="K30" s="33"/>
      <c r="L30" s="30"/>
      <c r="M30" s="30"/>
      <c r="N30" s="28">
        <v>24</v>
      </c>
    </row>
    <row r="31" spans="2:14" ht="34" x14ac:dyDescent="0.2">
      <c r="B31" s="28" t="s">
        <v>47</v>
      </c>
      <c r="C31" s="28" t="s">
        <v>72</v>
      </c>
      <c r="D31" s="29" t="s">
        <v>73</v>
      </c>
      <c r="E31" s="27" t="s">
        <v>36</v>
      </c>
      <c r="F31" s="30"/>
      <c r="G31" s="30"/>
      <c r="H31" s="31"/>
      <c r="I31" s="31" t="s">
        <v>275</v>
      </c>
      <c r="J31" s="33"/>
      <c r="K31" s="33"/>
      <c r="L31" s="30"/>
      <c r="M31" s="30"/>
      <c r="N31" s="28">
        <v>25</v>
      </c>
    </row>
    <row r="32" spans="2:14" ht="17" x14ac:dyDescent="0.2">
      <c r="B32" s="28" t="s">
        <v>74</v>
      </c>
      <c r="C32" s="28" t="s">
        <v>75</v>
      </c>
      <c r="D32" s="29" t="s">
        <v>76</v>
      </c>
      <c r="E32" s="36" t="s">
        <v>19</v>
      </c>
      <c r="F32" s="30"/>
      <c r="G32" s="30"/>
      <c r="H32" s="31"/>
      <c r="I32" s="32" t="s">
        <v>350</v>
      </c>
      <c r="J32" s="33"/>
      <c r="K32" s="33"/>
      <c r="L32" s="35"/>
      <c r="M32" s="30"/>
      <c r="N32" s="28">
        <v>26</v>
      </c>
    </row>
    <row r="33" spans="2:14" ht="17" x14ac:dyDescent="0.2">
      <c r="B33" s="28" t="s">
        <v>74</v>
      </c>
      <c r="C33" s="28" t="s">
        <v>77</v>
      </c>
      <c r="D33" s="29" t="s">
        <v>78</v>
      </c>
      <c r="E33" s="27" t="s">
        <v>36</v>
      </c>
      <c r="F33" s="30"/>
      <c r="G33" s="30"/>
      <c r="H33" s="31"/>
      <c r="I33" s="32" t="s">
        <v>351</v>
      </c>
      <c r="J33" s="33"/>
      <c r="K33" s="33"/>
      <c r="L33" s="30"/>
      <c r="M33" s="30"/>
      <c r="N33" s="28">
        <v>27</v>
      </c>
    </row>
    <row r="34" spans="2:14" ht="17" x14ac:dyDescent="0.2">
      <c r="B34" s="28" t="s">
        <v>74</v>
      </c>
      <c r="C34" s="28" t="s">
        <v>79</v>
      </c>
      <c r="D34" s="29" t="s">
        <v>80</v>
      </c>
      <c r="E34" s="26" t="s">
        <v>29</v>
      </c>
      <c r="F34" s="30"/>
      <c r="G34" s="30"/>
      <c r="H34" s="31"/>
      <c r="I34" s="31" t="s">
        <v>276</v>
      </c>
      <c r="J34" s="33"/>
      <c r="K34" s="33"/>
      <c r="L34" s="30"/>
      <c r="M34" s="30"/>
      <c r="N34" s="28">
        <v>28</v>
      </c>
    </row>
    <row r="35" spans="2:14" ht="17" x14ac:dyDescent="0.2">
      <c r="B35" s="28" t="s">
        <v>74</v>
      </c>
      <c r="C35" s="28" t="s">
        <v>81</v>
      </c>
      <c r="D35" s="29" t="s">
        <v>82</v>
      </c>
      <c r="E35" s="27" t="s">
        <v>36</v>
      </c>
      <c r="F35" s="30"/>
      <c r="G35" s="30"/>
      <c r="H35" s="31"/>
      <c r="I35" s="32" t="s">
        <v>352</v>
      </c>
      <c r="J35" s="33"/>
      <c r="K35" s="33"/>
      <c r="L35" s="30"/>
      <c r="M35" s="30"/>
      <c r="N35" s="28">
        <v>29</v>
      </c>
    </row>
    <row r="36" spans="2:14" ht="17" x14ac:dyDescent="0.2">
      <c r="B36" s="28" t="s">
        <v>74</v>
      </c>
      <c r="C36" s="28" t="s">
        <v>83</v>
      </c>
      <c r="D36" s="29" t="s">
        <v>84</v>
      </c>
      <c r="E36" s="26" t="s">
        <v>29</v>
      </c>
      <c r="F36" s="30"/>
      <c r="G36" s="30"/>
      <c r="H36" s="31"/>
      <c r="I36" s="31" t="s">
        <v>277</v>
      </c>
      <c r="J36" s="33"/>
      <c r="K36" s="33"/>
      <c r="L36" s="30"/>
      <c r="M36" s="30"/>
      <c r="N36" s="28">
        <v>30</v>
      </c>
    </row>
    <row r="37" spans="2:14" ht="34" x14ac:dyDescent="0.2">
      <c r="B37" s="28" t="s">
        <v>74</v>
      </c>
      <c r="C37" s="28" t="s">
        <v>85</v>
      </c>
      <c r="D37" s="29" t="s">
        <v>86</v>
      </c>
      <c r="E37" s="26" t="s">
        <v>29</v>
      </c>
      <c r="F37" s="30"/>
      <c r="G37" s="30"/>
      <c r="H37" s="31"/>
      <c r="I37" s="32" t="s">
        <v>278</v>
      </c>
      <c r="J37" s="33"/>
      <c r="K37" s="33"/>
      <c r="L37" s="30"/>
      <c r="M37" s="30"/>
      <c r="N37" s="28">
        <v>31</v>
      </c>
    </row>
    <row r="38" spans="2:14" ht="17" x14ac:dyDescent="0.2">
      <c r="B38" s="28" t="s">
        <v>74</v>
      </c>
      <c r="C38" s="28" t="s">
        <v>87</v>
      </c>
      <c r="D38" s="29" t="s">
        <v>88</v>
      </c>
      <c r="E38" s="36" t="s">
        <v>19</v>
      </c>
      <c r="F38" s="30"/>
      <c r="G38" s="30"/>
      <c r="H38" s="31"/>
      <c r="I38" s="32" t="s">
        <v>353</v>
      </c>
      <c r="J38" s="33"/>
      <c r="K38" s="33"/>
      <c r="L38" s="30"/>
      <c r="M38" s="30"/>
      <c r="N38" s="28">
        <v>32</v>
      </c>
    </row>
    <row r="39" spans="2:14" ht="34" x14ac:dyDescent="0.2">
      <c r="B39" s="28" t="s">
        <v>74</v>
      </c>
      <c r="C39" s="28" t="s">
        <v>89</v>
      </c>
      <c r="D39" s="29" t="s">
        <v>90</v>
      </c>
      <c r="E39" s="27" t="s">
        <v>36</v>
      </c>
      <c r="F39" s="30"/>
      <c r="G39" s="30"/>
      <c r="H39" s="31"/>
      <c r="I39" s="32" t="s">
        <v>279</v>
      </c>
      <c r="J39" s="33"/>
      <c r="K39" s="33"/>
      <c r="L39" s="33"/>
      <c r="M39" s="30"/>
      <c r="N39" s="28">
        <v>33</v>
      </c>
    </row>
    <row r="40" spans="2:14" ht="51" x14ac:dyDescent="0.2">
      <c r="B40" s="28" t="s">
        <v>74</v>
      </c>
      <c r="C40" s="28" t="s">
        <v>91</v>
      </c>
      <c r="D40" s="29" t="s">
        <v>92</v>
      </c>
      <c r="E40" s="27" t="s">
        <v>93</v>
      </c>
      <c r="F40" s="30"/>
      <c r="G40" s="30"/>
      <c r="H40" s="31"/>
      <c r="I40" s="32" t="s">
        <v>354</v>
      </c>
      <c r="J40" s="33"/>
      <c r="K40" s="33"/>
      <c r="L40" s="30"/>
      <c r="M40" s="30"/>
      <c r="N40" s="28">
        <v>34</v>
      </c>
    </row>
    <row r="41" spans="2:14" ht="34" x14ac:dyDescent="0.2">
      <c r="B41" s="28" t="s">
        <v>94</v>
      </c>
      <c r="C41" s="28" t="s">
        <v>95</v>
      </c>
      <c r="D41" s="29" t="s">
        <v>96</v>
      </c>
      <c r="E41" s="36" t="s">
        <v>19</v>
      </c>
      <c r="F41" s="30"/>
      <c r="G41" s="30"/>
      <c r="H41" s="31"/>
      <c r="I41" s="32" t="s">
        <v>355</v>
      </c>
      <c r="J41" s="33"/>
      <c r="K41" s="33"/>
      <c r="L41" s="30"/>
      <c r="M41" s="30"/>
      <c r="N41" s="28">
        <v>35</v>
      </c>
    </row>
    <row r="42" spans="2:14" ht="51" x14ac:dyDescent="0.2">
      <c r="B42" s="28" t="s">
        <v>94</v>
      </c>
      <c r="C42" s="28" t="s">
        <v>97</v>
      </c>
      <c r="D42" s="29" t="s">
        <v>98</v>
      </c>
      <c r="E42" s="36" t="s">
        <v>19</v>
      </c>
      <c r="F42" s="30"/>
      <c r="G42" s="30"/>
      <c r="H42" s="31"/>
      <c r="I42" s="32" t="s">
        <v>356</v>
      </c>
      <c r="J42" s="33"/>
      <c r="K42" s="33"/>
      <c r="L42" s="30"/>
      <c r="M42" s="30"/>
      <c r="N42" s="28">
        <v>36</v>
      </c>
    </row>
    <row r="43" spans="2:14" ht="51" x14ac:dyDescent="0.2">
      <c r="B43" s="28" t="s">
        <v>94</v>
      </c>
      <c r="C43" s="28" t="s">
        <v>99</v>
      </c>
      <c r="D43" s="29" t="s">
        <v>100</v>
      </c>
      <c r="E43" s="36" t="s">
        <v>19</v>
      </c>
      <c r="F43" s="30"/>
      <c r="G43" s="30"/>
      <c r="H43" s="31"/>
      <c r="I43" s="32" t="s">
        <v>280</v>
      </c>
      <c r="J43" s="33"/>
      <c r="K43" s="33"/>
      <c r="L43" s="30"/>
      <c r="M43" s="30"/>
      <c r="N43" s="28">
        <v>37</v>
      </c>
    </row>
    <row r="44" spans="2:14" ht="34" x14ac:dyDescent="0.2">
      <c r="B44" s="28" t="s">
        <v>94</v>
      </c>
      <c r="C44" s="28" t="s">
        <v>101</v>
      </c>
      <c r="D44" s="29" t="s">
        <v>102</v>
      </c>
      <c r="E44" s="26" t="s">
        <v>29</v>
      </c>
      <c r="F44" s="30"/>
      <c r="G44" s="30"/>
      <c r="H44" s="31"/>
      <c r="I44" s="32" t="s">
        <v>281</v>
      </c>
      <c r="J44" s="33"/>
      <c r="K44" s="33"/>
      <c r="L44" s="30"/>
      <c r="M44" s="30"/>
      <c r="N44" s="28">
        <v>38</v>
      </c>
    </row>
    <row r="45" spans="2:14" ht="34" x14ac:dyDescent="0.2">
      <c r="B45" s="28" t="s">
        <v>94</v>
      </c>
      <c r="C45" s="28" t="s">
        <v>103</v>
      </c>
      <c r="D45" s="29" t="s">
        <v>104</v>
      </c>
      <c r="E45" s="27" t="s">
        <v>36</v>
      </c>
      <c r="F45" s="30"/>
      <c r="G45" s="30"/>
      <c r="H45" s="31"/>
      <c r="I45" s="32" t="s">
        <v>282</v>
      </c>
      <c r="J45" s="33"/>
      <c r="K45" s="33"/>
      <c r="L45" s="30"/>
      <c r="M45" s="30"/>
      <c r="N45" s="28">
        <v>39</v>
      </c>
    </row>
    <row r="46" spans="2:14" ht="34" x14ac:dyDescent="0.2">
      <c r="B46" s="28" t="s">
        <v>94</v>
      </c>
      <c r="C46" s="28" t="s">
        <v>105</v>
      </c>
      <c r="D46" s="29" t="s">
        <v>106</v>
      </c>
      <c r="E46" s="27" t="s">
        <v>93</v>
      </c>
      <c r="F46" s="30"/>
      <c r="G46" s="30"/>
      <c r="H46" s="31"/>
      <c r="I46" s="32" t="s">
        <v>283</v>
      </c>
      <c r="J46" s="33"/>
      <c r="K46" s="33"/>
      <c r="L46" s="30"/>
      <c r="M46" s="30"/>
      <c r="N46" s="28">
        <v>40</v>
      </c>
    </row>
    <row r="47" spans="2:14" ht="34" x14ac:dyDescent="0.2">
      <c r="B47" s="28" t="s">
        <v>94</v>
      </c>
      <c r="C47" s="28" t="s">
        <v>107</v>
      </c>
      <c r="D47" s="29" t="s">
        <v>108</v>
      </c>
      <c r="E47" s="36" t="s">
        <v>19</v>
      </c>
      <c r="F47" s="30"/>
      <c r="G47" s="30"/>
      <c r="H47" s="31"/>
      <c r="I47" s="32" t="s">
        <v>357</v>
      </c>
      <c r="J47" s="33"/>
      <c r="K47" s="33"/>
      <c r="L47" s="30"/>
      <c r="M47" s="30"/>
      <c r="N47" s="28">
        <v>41</v>
      </c>
    </row>
    <row r="48" spans="2:14" ht="34" x14ac:dyDescent="0.2">
      <c r="B48" s="28" t="s">
        <v>94</v>
      </c>
      <c r="C48" s="28" t="s">
        <v>109</v>
      </c>
      <c r="D48" s="29" t="s">
        <v>110</v>
      </c>
      <c r="E48" s="36" t="s">
        <v>19</v>
      </c>
      <c r="F48" s="30"/>
      <c r="G48" s="30"/>
      <c r="H48" s="31"/>
      <c r="I48" s="32" t="s">
        <v>345</v>
      </c>
      <c r="J48" s="33"/>
      <c r="K48" s="33"/>
      <c r="L48" s="30"/>
      <c r="M48" s="30"/>
      <c r="N48" s="28">
        <v>42</v>
      </c>
    </row>
    <row r="49" spans="2:14" ht="34" x14ac:dyDescent="0.2">
      <c r="B49" s="28" t="s">
        <v>94</v>
      </c>
      <c r="C49" s="28" t="s">
        <v>111</v>
      </c>
      <c r="D49" s="29" t="s">
        <v>112</v>
      </c>
      <c r="E49" s="26" t="s">
        <v>29</v>
      </c>
      <c r="F49" s="30"/>
      <c r="G49" s="30"/>
      <c r="H49" s="31"/>
      <c r="I49" s="32" t="s">
        <v>284</v>
      </c>
      <c r="J49" s="33"/>
      <c r="K49" s="33"/>
      <c r="L49" s="30"/>
      <c r="M49" s="30"/>
      <c r="N49" s="28">
        <v>43</v>
      </c>
    </row>
    <row r="50" spans="2:14" ht="51" x14ac:dyDescent="0.2">
      <c r="B50" s="28" t="s">
        <v>94</v>
      </c>
      <c r="C50" s="28" t="s">
        <v>113</v>
      </c>
      <c r="D50" s="29" t="s">
        <v>114</v>
      </c>
      <c r="E50" s="26" t="s">
        <v>29</v>
      </c>
      <c r="F50" s="30"/>
      <c r="G50" s="30"/>
      <c r="H50" s="31"/>
      <c r="I50" s="32" t="s">
        <v>345</v>
      </c>
      <c r="J50" s="33"/>
      <c r="K50" s="33"/>
      <c r="L50" s="30"/>
      <c r="M50" s="30"/>
      <c r="N50" s="28">
        <v>44</v>
      </c>
    </row>
    <row r="51" spans="2:14" ht="34" x14ac:dyDescent="0.2">
      <c r="B51" s="28" t="s">
        <v>94</v>
      </c>
      <c r="C51" s="28" t="s">
        <v>115</v>
      </c>
      <c r="D51" s="29" t="s">
        <v>116</v>
      </c>
      <c r="E51" s="27" t="s">
        <v>36</v>
      </c>
      <c r="F51" s="30"/>
      <c r="G51" s="30"/>
      <c r="H51" s="31"/>
      <c r="I51" s="32" t="s">
        <v>358</v>
      </c>
      <c r="J51" s="33"/>
      <c r="K51" s="33"/>
      <c r="L51" s="30"/>
      <c r="M51" s="30"/>
      <c r="N51" s="28">
        <v>45</v>
      </c>
    </row>
    <row r="52" spans="2:14" ht="51" x14ac:dyDescent="0.2">
      <c r="B52" s="28" t="s">
        <v>94</v>
      </c>
      <c r="C52" s="28" t="s">
        <v>117</v>
      </c>
      <c r="D52" s="29" t="s">
        <v>118</v>
      </c>
      <c r="E52" s="36" t="s">
        <v>19</v>
      </c>
      <c r="F52" s="30"/>
      <c r="G52" s="30"/>
      <c r="H52" s="31"/>
      <c r="I52" s="32" t="s">
        <v>359</v>
      </c>
      <c r="J52" s="33"/>
      <c r="K52" s="33"/>
      <c r="L52" s="30"/>
      <c r="M52" s="30"/>
      <c r="N52" s="28">
        <v>46</v>
      </c>
    </row>
    <row r="53" spans="2:14" ht="17" x14ac:dyDescent="0.2">
      <c r="B53" s="28" t="s">
        <v>94</v>
      </c>
      <c r="C53" s="28" t="s">
        <v>119</v>
      </c>
      <c r="D53" s="29" t="s">
        <v>120</v>
      </c>
      <c r="E53" s="36" t="s">
        <v>19</v>
      </c>
      <c r="F53" s="30"/>
      <c r="G53" s="30"/>
      <c r="H53" s="31"/>
      <c r="I53" s="32" t="s">
        <v>360</v>
      </c>
      <c r="J53" s="33"/>
      <c r="K53" s="33"/>
      <c r="L53" s="30"/>
      <c r="M53" s="30"/>
      <c r="N53" s="28">
        <v>47</v>
      </c>
    </row>
    <row r="54" spans="2:14" ht="34" x14ac:dyDescent="0.2">
      <c r="B54" s="28" t="s">
        <v>94</v>
      </c>
      <c r="C54" s="28" t="s">
        <v>121</v>
      </c>
      <c r="D54" s="29" t="s">
        <v>122</v>
      </c>
      <c r="E54" s="26" t="s">
        <v>29</v>
      </c>
      <c r="F54" s="30"/>
      <c r="G54" s="30"/>
      <c r="H54" s="31"/>
      <c r="I54" s="32" t="s">
        <v>361</v>
      </c>
      <c r="J54" s="33"/>
      <c r="K54" s="33"/>
      <c r="L54" s="30"/>
      <c r="M54" s="30"/>
      <c r="N54" s="28">
        <v>48</v>
      </c>
    </row>
    <row r="55" spans="2:14" ht="17" x14ac:dyDescent="0.2">
      <c r="B55" s="28" t="s">
        <v>94</v>
      </c>
      <c r="C55" s="28" t="s">
        <v>123</v>
      </c>
      <c r="D55" s="29" t="s">
        <v>124</v>
      </c>
      <c r="E55" s="27" t="s">
        <v>36</v>
      </c>
      <c r="F55" s="30"/>
      <c r="G55" s="30"/>
      <c r="H55" s="31"/>
      <c r="I55" s="31" t="s">
        <v>285</v>
      </c>
      <c r="J55" s="33"/>
      <c r="K55" s="33"/>
      <c r="L55" s="30"/>
      <c r="M55" s="30"/>
      <c r="N55" s="28">
        <v>49</v>
      </c>
    </row>
    <row r="56" spans="2:14" ht="51" x14ac:dyDescent="0.2">
      <c r="B56" s="28" t="s">
        <v>94</v>
      </c>
      <c r="C56" s="28" t="s">
        <v>125</v>
      </c>
      <c r="D56" s="29" t="s">
        <v>126</v>
      </c>
      <c r="E56" s="36" t="s">
        <v>19</v>
      </c>
      <c r="F56" s="30"/>
      <c r="G56" s="30"/>
      <c r="H56" s="31"/>
      <c r="I56" s="31" t="s">
        <v>286</v>
      </c>
      <c r="J56" s="33"/>
      <c r="K56" s="33"/>
      <c r="L56" s="30"/>
      <c r="M56" s="30"/>
      <c r="N56" s="28">
        <v>50</v>
      </c>
    </row>
    <row r="57" spans="2:14" ht="51" x14ac:dyDescent="0.2">
      <c r="B57" s="28" t="s">
        <v>94</v>
      </c>
      <c r="C57" s="28" t="s">
        <v>127</v>
      </c>
      <c r="D57" s="29" t="s">
        <v>128</v>
      </c>
      <c r="E57" s="36" t="s">
        <v>19</v>
      </c>
      <c r="F57" s="30"/>
      <c r="G57" s="30"/>
      <c r="H57" s="31"/>
      <c r="I57" s="31" t="s">
        <v>287</v>
      </c>
      <c r="J57" s="33"/>
      <c r="K57" s="33"/>
      <c r="L57" s="30"/>
      <c r="M57" s="30"/>
      <c r="N57" s="28">
        <v>51</v>
      </c>
    </row>
    <row r="58" spans="2:14" ht="51" x14ac:dyDescent="0.2">
      <c r="B58" s="28" t="s">
        <v>94</v>
      </c>
      <c r="C58" s="28" t="s">
        <v>129</v>
      </c>
      <c r="D58" s="29" t="s">
        <v>130</v>
      </c>
      <c r="E58" s="36" t="s">
        <v>19</v>
      </c>
      <c r="F58" s="30"/>
      <c r="G58" s="30"/>
      <c r="H58" s="31"/>
      <c r="I58" s="32" t="s">
        <v>362</v>
      </c>
      <c r="J58" s="33"/>
      <c r="K58" s="33"/>
      <c r="L58" s="30"/>
      <c r="M58" s="30"/>
      <c r="N58" s="28">
        <v>52</v>
      </c>
    </row>
    <row r="59" spans="2:14" ht="17" x14ac:dyDescent="0.2">
      <c r="B59" s="28" t="s">
        <v>94</v>
      </c>
      <c r="C59" s="28" t="s">
        <v>131</v>
      </c>
      <c r="D59" s="29" t="s">
        <v>132</v>
      </c>
      <c r="E59" s="27" t="s">
        <v>36</v>
      </c>
      <c r="F59" s="30"/>
      <c r="G59" s="30"/>
      <c r="H59" s="31"/>
      <c r="I59" s="31" t="s">
        <v>288</v>
      </c>
      <c r="J59" s="33"/>
      <c r="K59" s="33"/>
      <c r="L59" s="30"/>
      <c r="M59" s="30"/>
      <c r="N59" s="28">
        <v>53</v>
      </c>
    </row>
    <row r="60" spans="2:14" ht="51" x14ac:dyDescent="0.2">
      <c r="B60" s="28" t="s">
        <v>94</v>
      </c>
      <c r="C60" s="28" t="s">
        <v>133</v>
      </c>
      <c r="D60" s="29" t="s">
        <v>134</v>
      </c>
      <c r="E60" s="27" t="s">
        <v>93</v>
      </c>
      <c r="F60" s="30"/>
      <c r="G60" s="30"/>
      <c r="H60" s="31"/>
      <c r="I60" s="32" t="s">
        <v>289</v>
      </c>
      <c r="J60" s="33"/>
      <c r="K60" s="33"/>
      <c r="L60" s="30"/>
      <c r="M60" s="30"/>
      <c r="N60" s="28">
        <v>54</v>
      </c>
    </row>
    <row r="61" spans="2:14" ht="17" x14ac:dyDescent="0.2">
      <c r="B61" s="28" t="s">
        <v>94</v>
      </c>
      <c r="C61" s="28" t="s">
        <v>135</v>
      </c>
      <c r="D61" s="29" t="s">
        <v>136</v>
      </c>
      <c r="E61" s="36" t="s">
        <v>19</v>
      </c>
      <c r="F61" s="30" t="s">
        <v>20</v>
      </c>
      <c r="G61" s="30"/>
      <c r="H61" s="31"/>
      <c r="I61" s="32" t="s">
        <v>363</v>
      </c>
      <c r="J61" s="33"/>
      <c r="K61" s="33"/>
      <c r="L61" s="30"/>
      <c r="M61" s="30"/>
      <c r="N61" s="28">
        <v>55</v>
      </c>
    </row>
    <row r="62" spans="2:14" ht="73.25" customHeight="1" x14ac:dyDescent="0.2">
      <c r="B62" s="28" t="s">
        <v>94</v>
      </c>
      <c r="C62" s="28" t="s">
        <v>137</v>
      </c>
      <c r="D62" s="29" t="s">
        <v>138</v>
      </c>
      <c r="E62" s="26" t="s">
        <v>29</v>
      </c>
      <c r="F62" s="30"/>
      <c r="G62" s="30"/>
      <c r="H62" s="31"/>
      <c r="I62" s="31" t="s">
        <v>331</v>
      </c>
      <c r="J62" s="33"/>
      <c r="K62" s="33"/>
      <c r="L62" s="30"/>
      <c r="M62" s="30"/>
      <c r="N62" s="28">
        <v>56</v>
      </c>
    </row>
    <row r="63" spans="2:14" ht="34" x14ac:dyDescent="0.2">
      <c r="B63" s="28" t="s">
        <v>94</v>
      </c>
      <c r="C63" s="28" t="s">
        <v>139</v>
      </c>
      <c r="D63" s="29" t="s">
        <v>140</v>
      </c>
      <c r="E63" s="26" t="s">
        <v>29</v>
      </c>
      <c r="F63" s="30"/>
      <c r="G63" s="30"/>
      <c r="H63" s="31"/>
      <c r="I63" s="32" t="s">
        <v>291</v>
      </c>
      <c r="J63" s="33"/>
      <c r="K63" s="33"/>
      <c r="L63" s="30"/>
      <c r="M63" s="30"/>
      <c r="N63" s="28">
        <v>57</v>
      </c>
    </row>
    <row r="64" spans="2:14" ht="34" x14ac:dyDescent="0.2">
      <c r="B64" s="28" t="s">
        <v>94</v>
      </c>
      <c r="C64" s="28" t="s">
        <v>141</v>
      </c>
      <c r="D64" s="29" t="s">
        <v>142</v>
      </c>
      <c r="E64" s="26" t="s">
        <v>29</v>
      </c>
      <c r="F64" s="30"/>
      <c r="G64" s="30"/>
      <c r="H64" s="31"/>
      <c r="I64" s="32" t="s">
        <v>364</v>
      </c>
      <c r="J64" s="33"/>
      <c r="K64" s="33"/>
      <c r="L64" s="30"/>
      <c r="M64" s="30"/>
      <c r="N64" s="28">
        <v>58</v>
      </c>
    </row>
    <row r="65" spans="2:14" ht="17" x14ac:dyDescent="0.2">
      <c r="B65" s="28" t="s">
        <v>94</v>
      </c>
      <c r="C65" s="28" t="s">
        <v>143</v>
      </c>
      <c r="D65" s="29" t="s">
        <v>144</v>
      </c>
      <c r="E65" s="27" t="s">
        <v>36</v>
      </c>
      <c r="F65" s="30"/>
      <c r="G65" s="30"/>
      <c r="H65" s="31"/>
      <c r="I65" s="31" t="s">
        <v>366</v>
      </c>
      <c r="J65" s="33"/>
      <c r="K65" s="33"/>
      <c r="L65" s="30"/>
      <c r="M65" s="30"/>
      <c r="N65" s="28">
        <v>59</v>
      </c>
    </row>
    <row r="66" spans="2:14" ht="34" x14ac:dyDescent="0.2">
      <c r="B66" s="28" t="s">
        <v>94</v>
      </c>
      <c r="C66" s="28" t="s">
        <v>145</v>
      </c>
      <c r="D66" s="29" t="s">
        <v>146</v>
      </c>
      <c r="E66" s="26" t="s">
        <v>29</v>
      </c>
      <c r="F66" s="30"/>
      <c r="G66" s="30"/>
      <c r="H66" s="31"/>
      <c r="I66" s="31" t="s">
        <v>292</v>
      </c>
      <c r="J66" s="33"/>
      <c r="K66" s="33"/>
      <c r="L66" s="30"/>
      <c r="M66" s="30"/>
      <c r="N66" s="28">
        <v>60</v>
      </c>
    </row>
    <row r="67" spans="2:14" ht="17" x14ac:dyDescent="0.2">
      <c r="B67" s="28" t="s">
        <v>94</v>
      </c>
      <c r="C67" s="28" t="s">
        <v>147</v>
      </c>
      <c r="D67" s="29" t="s">
        <v>148</v>
      </c>
      <c r="E67" s="26" t="s">
        <v>29</v>
      </c>
      <c r="F67" s="30"/>
      <c r="G67" s="30"/>
      <c r="H67" s="31"/>
      <c r="I67" s="32" t="s">
        <v>365</v>
      </c>
      <c r="J67" s="33"/>
      <c r="K67" s="33"/>
      <c r="L67" s="30"/>
      <c r="M67" s="30"/>
      <c r="N67" s="28">
        <v>61</v>
      </c>
    </row>
    <row r="68" spans="2:14" ht="51" x14ac:dyDescent="0.2">
      <c r="B68" s="28" t="s">
        <v>94</v>
      </c>
      <c r="C68" s="28" t="s">
        <v>149</v>
      </c>
      <c r="D68" s="29" t="s">
        <v>150</v>
      </c>
      <c r="E68" s="26" t="s">
        <v>29</v>
      </c>
      <c r="F68" s="30"/>
      <c r="G68" s="30"/>
      <c r="H68" s="31"/>
      <c r="I68" s="32" t="s">
        <v>367</v>
      </c>
      <c r="J68" s="33"/>
      <c r="K68" s="33"/>
      <c r="L68" s="30"/>
      <c r="M68" s="30"/>
      <c r="N68" s="28">
        <v>62</v>
      </c>
    </row>
    <row r="69" spans="2:14" ht="34" x14ac:dyDescent="0.2">
      <c r="B69" s="28" t="s">
        <v>94</v>
      </c>
      <c r="C69" s="28" t="s">
        <v>151</v>
      </c>
      <c r="D69" s="29" t="s">
        <v>152</v>
      </c>
      <c r="E69" s="26" t="s">
        <v>29</v>
      </c>
      <c r="F69" s="30"/>
      <c r="G69" s="30"/>
      <c r="H69" s="31"/>
      <c r="I69" s="32" t="s">
        <v>293</v>
      </c>
      <c r="J69" s="33"/>
      <c r="K69" s="33"/>
      <c r="L69" s="30"/>
      <c r="M69" s="30"/>
      <c r="N69" s="28">
        <v>63</v>
      </c>
    </row>
    <row r="70" spans="2:14" ht="17" x14ac:dyDescent="0.2">
      <c r="B70" s="28" t="s">
        <v>94</v>
      </c>
      <c r="C70" s="28" t="s">
        <v>153</v>
      </c>
      <c r="D70" s="29" t="s">
        <v>154</v>
      </c>
      <c r="E70" s="27" t="s">
        <v>36</v>
      </c>
      <c r="F70" s="30"/>
      <c r="G70" s="30"/>
      <c r="H70" s="31"/>
      <c r="I70" s="32" t="s">
        <v>368</v>
      </c>
      <c r="J70" s="33"/>
      <c r="K70" s="33"/>
      <c r="L70" s="30"/>
      <c r="M70" s="30"/>
      <c r="N70" s="28">
        <v>64</v>
      </c>
    </row>
    <row r="71" spans="2:14" ht="17" x14ac:dyDescent="0.2">
      <c r="B71" s="28" t="s">
        <v>94</v>
      </c>
      <c r="C71" s="28" t="s">
        <v>155</v>
      </c>
      <c r="D71" s="29" t="s">
        <v>156</v>
      </c>
      <c r="E71" s="27" t="s">
        <v>36</v>
      </c>
      <c r="F71" s="30"/>
      <c r="G71" s="30"/>
      <c r="H71" s="31"/>
      <c r="I71" s="32" t="s">
        <v>369</v>
      </c>
      <c r="J71" s="33"/>
      <c r="K71" s="33"/>
      <c r="L71" s="30"/>
      <c r="M71" s="30"/>
      <c r="N71" s="28">
        <v>65</v>
      </c>
    </row>
    <row r="72" spans="2:14" ht="34" x14ac:dyDescent="0.2">
      <c r="B72" s="28" t="s">
        <v>157</v>
      </c>
      <c r="C72" s="28" t="s">
        <v>158</v>
      </c>
      <c r="D72" s="29" t="s">
        <v>159</v>
      </c>
      <c r="E72" s="26" t="s">
        <v>29</v>
      </c>
      <c r="F72" s="30"/>
      <c r="G72" s="30"/>
      <c r="H72" s="31"/>
      <c r="I72" s="32" t="s">
        <v>294</v>
      </c>
      <c r="J72" s="33"/>
      <c r="K72" s="33"/>
      <c r="L72" s="30"/>
      <c r="M72" s="30"/>
      <c r="N72" s="28">
        <v>66</v>
      </c>
    </row>
    <row r="73" spans="2:14" ht="34" x14ac:dyDescent="0.2">
      <c r="B73" s="28" t="s">
        <v>157</v>
      </c>
      <c r="C73" s="28" t="s">
        <v>160</v>
      </c>
      <c r="D73" s="29" t="s">
        <v>161</v>
      </c>
      <c r="E73" s="27" t="s">
        <v>36</v>
      </c>
      <c r="F73" s="30"/>
      <c r="G73" s="30"/>
      <c r="H73" s="31"/>
      <c r="I73" s="32" t="s">
        <v>295</v>
      </c>
      <c r="J73" s="33"/>
      <c r="K73" s="33"/>
      <c r="L73" s="30"/>
      <c r="M73" s="30"/>
      <c r="N73" s="28">
        <v>67</v>
      </c>
    </row>
    <row r="74" spans="2:14" ht="34" x14ac:dyDescent="0.2">
      <c r="B74" s="28" t="s">
        <v>157</v>
      </c>
      <c r="C74" s="28" t="s">
        <v>162</v>
      </c>
      <c r="D74" s="29" t="s">
        <v>163</v>
      </c>
      <c r="E74" s="27" t="s">
        <v>36</v>
      </c>
      <c r="F74" s="30"/>
      <c r="G74" s="30"/>
      <c r="H74" s="31"/>
      <c r="I74" s="32" t="s">
        <v>357</v>
      </c>
      <c r="J74" s="33"/>
      <c r="K74" s="33"/>
      <c r="L74" s="30"/>
      <c r="M74" s="30"/>
      <c r="N74" s="28">
        <v>68</v>
      </c>
    </row>
    <row r="75" spans="2:14" ht="34" x14ac:dyDescent="0.2">
      <c r="B75" s="28" t="s">
        <v>157</v>
      </c>
      <c r="C75" s="28" t="s">
        <v>164</v>
      </c>
      <c r="D75" s="29" t="s">
        <v>165</v>
      </c>
      <c r="E75" s="27" t="s">
        <v>93</v>
      </c>
      <c r="F75" s="30"/>
      <c r="G75" s="30"/>
      <c r="H75" s="31"/>
      <c r="I75" s="31" t="s">
        <v>290</v>
      </c>
      <c r="J75" s="33"/>
      <c r="K75" s="33"/>
      <c r="L75" s="30"/>
      <c r="M75" s="30"/>
      <c r="N75" s="28">
        <v>69</v>
      </c>
    </row>
    <row r="76" spans="2:14" ht="34" x14ac:dyDescent="0.2">
      <c r="B76" s="28" t="s">
        <v>157</v>
      </c>
      <c r="C76" s="28" t="s">
        <v>166</v>
      </c>
      <c r="D76" s="29" t="s">
        <v>167</v>
      </c>
      <c r="E76" s="27" t="s">
        <v>168</v>
      </c>
      <c r="F76" s="30"/>
      <c r="G76" s="30"/>
      <c r="H76" s="31"/>
      <c r="I76" s="32" t="s">
        <v>296</v>
      </c>
      <c r="J76" s="33"/>
      <c r="K76" s="33"/>
      <c r="L76" s="30"/>
      <c r="M76" s="30"/>
      <c r="N76" s="28">
        <v>70</v>
      </c>
    </row>
    <row r="77" spans="2:14" ht="34" x14ac:dyDescent="0.2">
      <c r="B77" s="28" t="s">
        <v>157</v>
      </c>
      <c r="C77" s="28" t="s">
        <v>169</v>
      </c>
      <c r="D77" s="29" t="s">
        <v>170</v>
      </c>
      <c r="E77" s="27" t="s">
        <v>168</v>
      </c>
      <c r="F77" s="30"/>
      <c r="G77" s="30"/>
      <c r="H77" s="31"/>
      <c r="I77" s="32" t="s">
        <v>297</v>
      </c>
      <c r="J77" s="33"/>
      <c r="K77" s="33"/>
      <c r="L77" s="30"/>
      <c r="M77" s="30"/>
      <c r="N77" s="28">
        <v>71</v>
      </c>
    </row>
    <row r="78" spans="2:14" ht="34" x14ac:dyDescent="0.2">
      <c r="B78" s="28" t="s">
        <v>157</v>
      </c>
      <c r="C78" s="28" t="s">
        <v>171</v>
      </c>
      <c r="D78" s="29" t="s">
        <v>172</v>
      </c>
      <c r="E78" s="27" t="s">
        <v>168</v>
      </c>
      <c r="F78" s="30"/>
      <c r="G78" s="30"/>
      <c r="H78" s="31"/>
      <c r="I78" s="31" t="s">
        <v>290</v>
      </c>
      <c r="J78" s="33"/>
      <c r="K78" s="33"/>
      <c r="L78" s="30"/>
      <c r="M78" s="30"/>
      <c r="N78" s="28">
        <v>72</v>
      </c>
    </row>
    <row r="79" spans="2:14" ht="34" x14ac:dyDescent="0.2">
      <c r="B79" s="28" t="s">
        <v>157</v>
      </c>
      <c r="C79" s="28" t="s">
        <v>173</v>
      </c>
      <c r="D79" s="29" t="s">
        <v>174</v>
      </c>
      <c r="E79" s="26" t="s">
        <v>29</v>
      </c>
      <c r="F79" s="30"/>
      <c r="G79" s="30"/>
      <c r="H79" s="31"/>
      <c r="I79" s="32" t="s">
        <v>298</v>
      </c>
      <c r="J79" s="33"/>
      <c r="K79" s="33"/>
      <c r="L79" s="30"/>
      <c r="M79" s="30"/>
      <c r="N79" s="28">
        <v>73</v>
      </c>
    </row>
    <row r="80" spans="2:14" ht="68" x14ac:dyDescent="0.2">
      <c r="B80" s="28" t="s">
        <v>157</v>
      </c>
      <c r="C80" s="28" t="s">
        <v>175</v>
      </c>
      <c r="D80" s="29" t="s">
        <v>176</v>
      </c>
      <c r="E80" s="27" t="s">
        <v>36</v>
      </c>
      <c r="F80" s="30"/>
      <c r="G80" s="30"/>
      <c r="H80" s="31"/>
      <c r="I80" s="32" t="s">
        <v>299</v>
      </c>
      <c r="J80" s="33"/>
      <c r="K80" s="33"/>
      <c r="L80" s="30"/>
      <c r="M80" s="30"/>
      <c r="N80" s="28">
        <v>74</v>
      </c>
    </row>
    <row r="81" spans="2:14" ht="34" x14ac:dyDescent="0.2">
      <c r="B81" s="28" t="s">
        <v>157</v>
      </c>
      <c r="C81" s="28" t="s">
        <v>177</v>
      </c>
      <c r="D81" s="29" t="s">
        <v>178</v>
      </c>
      <c r="E81" s="27" t="s">
        <v>36</v>
      </c>
      <c r="F81" s="30"/>
      <c r="G81" s="30"/>
      <c r="H81" s="31"/>
      <c r="I81" s="32" t="s">
        <v>300</v>
      </c>
      <c r="J81" s="33"/>
      <c r="K81" s="33"/>
      <c r="L81" s="30"/>
      <c r="M81" s="30"/>
      <c r="N81" s="28">
        <v>75</v>
      </c>
    </row>
    <row r="82" spans="2:14" ht="68" x14ac:dyDescent="0.2">
      <c r="B82" s="28" t="s">
        <v>157</v>
      </c>
      <c r="C82" s="28" t="s">
        <v>179</v>
      </c>
      <c r="D82" s="29" t="s">
        <v>180</v>
      </c>
      <c r="E82" s="27" t="s">
        <v>93</v>
      </c>
      <c r="F82" s="30"/>
      <c r="G82" s="30"/>
      <c r="H82" s="31"/>
      <c r="I82" s="32" t="s">
        <v>370</v>
      </c>
      <c r="J82" s="33"/>
      <c r="K82" s="33"/>
      <c r="L82" s="30"/>
      <c r="M82" s="30"/>
      <c r="N82" s="28">
        <v>76</v>
      </c>
    </row>
    <row r="83" spans="2:14" ht="34" x14ac:dyDescent="0.2">
      <c r="B83" s="28" t="s">
        <v>157</v>
      </c>
      <c r="C83" s="28" t="s">
        <v>181</v>
      </c>
      <c r="D83" s="29" t="s">
        <v>182</v>
      </c>
      <c r="E83" s="27" t="s">
        <v>93</v>
      </c>
      <c r="F83" s="30"/>
      <c r="G83" s="30"/>
      <c r="H83" s="31"/>
      <c r="I83" s="31" t="s">
        <v>290</v>
      </c>
      <c r="J83" s="33"/>
      <c r="K83" s="33"/>
      <c r="L83" s="30"/>
      <c r="M83" s="30"/>
      <c r="N83" s="28">
        <v>77</v>
      </c>
    </row>
    <row r="84" spans="2:14" ht="51" x14ac:dyDescent="0.2">
      <c r="B84" s="28" t="s">
        <v>183</v>
      </c>
      <c r="C84" s="28" t="s">
        <v>184</v>
      </c>
      <c r="D84" s="29" t="s">
        <v>185</v>
      </c>
      <c r="E84" s="36" t="s">
        <v>19</v>
      </c>
      <c r="F84" s="30"/>
      <c r="G84" s="30"/>
      <c r="H84" s="31"/>
      <c r="I84" s="32" t="s">
        <v>301</v>
      </c>
      <c r="J84" s="33"/>
      <c r="K84" s="33"/>
      <c r="L84" s="30"/>
      <c r="M84" s="30"/>
      <c r="N84" s="28">
        <v>78</v>
      </c>
    </row>
    <row r="85" spans="2:14" ht="34" x14ac:dyDescent="0.2">
      <c r="B85" s="28" t="s">
        <v>183</v>
      </c>
      <c r="C85" s="28" t="s">
        <v>186</v>
      </c>
      <c r="D85" s="29" t="s">
        <v>187</v>
      </c>
      <c r="E85" s="26" t="s">
        <v>29</v>
      </c>
      <c r="F85" s="30"/>
      <c r="G85" s="30"/>
      <c r="H85" s="31"/>
      <c r="I85" s="31" t="s">
        <v>308</v>
      </c>
      <c r="J85" s="33"/>
      <c r="K85" s="33"/>
      <c r="L85" s="30"/>
      <c r="M85" s="30"/>
      <c r="N85" s="28">
        <v>79</v>
      </c>
    </row>
    <row r="86" spans="2:14" ht="34" x14ac:dyDescent="0.2">
      <c r="B86" s="28" t="s">
        <v>183</v>
      </c>
      <c r="C86" s="28" t="s">
        <v>188</v>
      </c>
      <c r="D86" s="29" t="s">
        <v>189</v>
      </c>
      <c r="E86" s="26" t="s">
        <v>29</v>
      </c>
      <c r="F86" s="30"/>
      <c r="G86" s="30"/>
      <c r="H86" s="31"/>
      <c r="I86" s="32" t="s">
        <v>307</v>
      </c>
      <c r="J86" s="33"/>
      <c r="K86" s="33"/>
      <c r="L86" s="30"/>
      <c r="M86" s="30"/>
      <c r="N86" s="28">
        <v>80</v>
      </c>
    </row>
    <row r="87" spans="2:14" ht="85" x14ac:dyDescent="0.2">
      <c r="B87" s="28" t="s">
        <v>183</v>
      </c>
      <c r="C87" s="28" t="s">
        <v>190</v>
      </c>
      <c r="D87" s="29" t="s">
        <v>191</v>
      </c>
      <c r="E87" s="27" t="s">
        <v>36</v>
      </c>
      <c r="F87" s="30"/>
      <c r="G87" s="30"/>
      <c r="H87" s="31"/>
      <c r="I87" s="32" t="s">
        <v>306</v>
      </c>
      <c r="J87" s="33"/>
      <c r="K87" s="33"/>
      <c r="L87" s="30"/>
      <c r="M87" s="30"/>
      <c r="N87" s="28">
        <v>81</v>
      </c>
    </row>
    <row r="88" spans="2:14" ht="34" x14ac:dyDescent="0.2">
      <c r="B88" s="28" t="s">
        <v>183</v>
      </c>
      <c r="C88" s="28" t="s">
        <v>192</v>
      </c>
      <c r="D88" s="29" t="s">
        <v>193</v>
      </c>
      <c r="E88" s="26" t="s">
        <v>29</v>
      </c>
      <c r="F88" s="30"/>
      <c r="G88" s="30"/>
      <c r="H88" s="31"/>
      <c r="I88" s="32" t="s">
        <v>305</v>
      </c>
      <c r="J88" s="33"/>
      <c r="K88" s="33"/>
      <c r="L88" s="30"/>
      <c r="M88" s="30"/>
      <c r="N88" s="28">
        <v>82</v>
      </c>
    </row>
    <row r="89" spans="2:14" ht="51" x14ac:dyDescent="0.2">
      <c r="B89" s="28" t="s">
        <v>183</v>
      </c>
      <c r="C89" s="28" t="s">
        <v>194</v>
      </c>
      <c r="D89" s="29" t="s">
        <v>195</v>
      </c>
      <c r="E89" s="27" t="s">
        <v>36</v>
      </c>
      <c r="F89" s="30"/>
      <c r="G89" s="30"/>
      <c r="H89" s="31"/>
      <c r="I89" s="32" t="s">
        <v>304</v>
      </c>
      <c r="J89" s="33"/>
      <c r="K89" s="33"/>
      <c r="L89" s="30"/>
      <c r="M89" s="30"/>
      <c r="N89" s="28">
        <v>83</v>
      </c>
    </row>
    <row r="90" spans="2:14" ht="34" x14ac:dyDescent="0.2">
      <c r="B90" s="28" t="s">
        <v>183</v>
      </c>
      <c r="C90" s="28" t="s">
        <v>196</v>
      </c>
      <c r="D90" s="29" t="s">
        <v>197</v>
      </c>
      <c r="E90" s="27" t="s">
        <v>93</v>
      </c>
      <c r="F90" s="30"/>
      <c r="G90" s="30"/>
      <c r="H90" s="31"/>
      <c r="I90" s="32" t="s">
        <v>302</v>
      </c>
      <c r="J90" s="33"/>
      <c r="K90" s="33"/>
      <c r="L90" s="30"/>
      <c r="M90" s="30"/>
      <c r="N90" s="28">
        <v>84</v>
      </c>
    </row>
    <row r="91" spans="2:14" ht="68" x14ac:dyDescent="0.2">
      <c r="B91" s="28" t="s">
        <v>183</v>
      </c>
      <c r="C91" s="28" t="s">
        <v>198</v>
      </c>
      <c r="D91" s="29" t="s">
        <v>199</v>
      </c>
      <c r="E91" s="36" t="s">
        <v>19</v>
      </c>
      <c r="F91" s="30"/>
      <c r="G91" s="30"/>
      <c r="H91" s="31"/>
      <c r="I91" s="32" t="s">
        <v>303</v>
      </c>
      <c r="J91" s="33"/>
      <c r="K91" s="33"/>
      <c r="L91" s="30"/>
      <c r="M91" s="30"/>
      <c r="N91" s="28">
        <v>85</v>
      </c>
    </row>
    <row r="92" spans="2:14" ht="85" x14ac:dyDescent="0.2">
      <c r="B92" s="28" t="s">
        <v>183</v>
      </c>
      <c r="C92" s="28" t="s">
        <v>200</v>
      </c>
      <c r="D92" s="29" t="s">
        <v>201</v>
      </c>
      <c r="E92" s="27" t="s">
        <v>36</v>
      </c>
      <c r="F92" s="30"/>
      <c r="G92" s="30"/>
      <c r="H92" s="31"/>
      <c r="I92" s="32" t="s">
        <v>309</v>
      </c>
      <c r="J92" s="33"/>
      <c r="K92" s="33"/>
      <c r="L92" s="30"/>
      <c r="M92" s="30"/>
      <c r="N92" s="28">
        <v>86</v>
      </c>
    </row>
    <row r="93" spans="2:14" ht="34" x14ac:dyDescent="0.2">
      <c r="B93" s="28" t="s">
        <v>183</v>
      </c>
      <c r="C93" s="28" t="s">
        <v>202</v>
      </c>
      <c r="D93" s="29" t="s">
        <v>203</v>
      </c>
      <c r="E93" s="36" t="s">
        <v>19</v>
      </c>
      <c r="F93" s="30"/>
      <c r="G93" s="30"/>
      <c r="H93" s="31"/>
      <c r="I93" s="31" t="s">
        <v>310</v>
      </c>
      <c r="J93" s="33"/>
      <c r="K93" s="33"/>
      <c r="L93" s="30"/>
      <c r="M93" s="30"/>
      <c r="N93" s="28">
        <v>87</v>
      </c>
    </row>
    <row r="94" spans="2:14" ht="51" x14ac:dyDescent="0.2">
      <c r="B94" s="28" t="s">
        <v>183</v>
      </c>
      <c r="C94" s="28" t="s">
        <v>204</v>
      </c>
      <c r="D94" s="29" t="s">
        <v>205</v>
      </c>
      <c r="E94" s="36" t="s">
        <v>19</v>
      </c>
      <c r="F94" s="30"/>
      <c r="G94" s="30"/>
      <c r="H94" s="31"/>
      <c r="I94" s="31" t="s">
        <v>292</v>
      </c>
      <c r="J94" s="33"/>
      <c r="K94" s="33"/>
      <c r="L94" s="30"/>
      <c r="M94" s="30"/>
      <c r="N94" s="28">
        <v>88</v>
      </c>
    </row>
    <row r="95" spans="2:14" ht="68" x14ac:dyDescent="0.2">
      <c r="B95" s="28" t="s">
        <v>183</v>
      </c>
      <c r="C95" s="28" t="s">
        <v>206</v>
      </c>
      <c r="D95" s="29" t="s">
        <v>207</v>
      </c>
      <c r="E95" s="26" t="s">
        <v>29</v>
      </c>
      <c r="F95" s="30"/>
      <c r="G95" s="30"/>
      <c r="H95" s="31"/>
      <c r="I95" s="32" t="s">
        <v>311</v>
      </c>
      <c r="J95" s="33"/>
      <c r="K95" s="33"/>
      <c r="L95" s="30"/>
      <c r="M95" s="30"/>
      <c r="N95" s="28">
        <v>89</v>
      </c>
    </row>
    <row r="96" spans="2:14" ht="68" x14ac:dyDescent="0.2">
      <c r="B96" s="28" t="s">
        <v>183</v>
      </c>
      <c r="C96" s="28" t="s">
        <v>208</v>
      </c>
      <c r="D96" s="29" t="s">
        <v>209</v>
      </c>
      <c r="E96" s="26" t="s">
        <v>29</v>
      </c>
      <c r="F96" s="30"/>
      <c r="G96" s="30"/>
      <c r="H96" s="31"/>
      <c r="I96" s="32" t="s">
        <v>312</v>
      </c>
      <c r="J96" s="33"/>
      <c r="K96" s="33"/>
      <c r="L96" s="30"/>
      <c r="M96" s="30"/>
      <c r="N96" s="28">
        <v>90</v>
      </c>
    </row>
    <row r="97" spans="2:14" ht="34" x14ac:dyDescent="0.2">
      <c r="B97" s="28" t="s">
        <v>183</v>
      </c>
      <c r="C97" s="28" t="s">
        <v>210</v>
      </c>
      <c r="D97" s="29" t="s">
        <v>211</v>
      </c>
      <c r="E97" s="26" t="s">
        <v>29</v>
      </c>
      <c r="F97" s="30"/>
      <c r="G97" s="30"/>
      <c r="H97" s="31"/>
      <c r="I97" s="32" t="s">
        <v>313</v>
      </c>
      <c r="J97" s="33"/>
      <c r="K97" s="33"/>
      <c r="L97" s="30"/>
      <c r="M97" s="30"/>
      <c r="N97" s="28">
        <v>91</v>
      </c>
    </row>
    <row r="98" spans="2:14" ht="34" x14ac:dyDescent="0.2">
      <c r="B98" s="28" t="s">
        <v>183</v>
      </c>
      <c r="C98" s="28" t="s">
        <v>212</v>
      </c>
      <c r="D98" s="29" t="s">
        <v>213</v>
      </c>
      <c r="E98" s="26" t="s">
        <v>29</v>
      </c>
      <c r="F98" s="30"/>
      <c r="G98" s="30"/>
      <c r="H98" s="31"/>
      <c r="I98" s="31" t="s">
        <v>290</v>
      </c>
      <c r="J98" s="33"/>
      <c r="K98" s="33"/>
      <c r="L98" s="30"/>
      <c r="M98" s="30"/>
      <c r="N98" s="28">
        <v>92</v>
      </c>
    </row>
    <row r="99" spans="2:14" ht="68" x14ac:dyDescent="0.2">
      <c r="B99" s="28" t="s">
        <v>183</v>
      </c>
      <c r="C99" s="28" t="s">
        <v>214</v>
      </c>
      <c r="D99" s="29" t="s">
        <v>215</v>
      </c>
      <c r="E99" s="27" t="s">
        <v>36</v>
      </c>
      <c r="F99" s="30"/>
      <c r="G99" s="30"/>
      <c r="H99" s="31"/>
      <c r="I99" s="32" t="s">
        <v>314</v>
      </c>
      <c r="J99" s="33"/>
      <c r="K99" s="33"/>
      <c r="L99" s="30"/>
      <c r="M99" s="30"/>
      <c r="N99" s="28">
        <v>93</v>
      </c>
    </row>
    <row r="100" spans="2:14" ht="34" x14ac:dyDescent="0.2">
      <c r="B100" s="28" t="s">
        <v>183</v>
      </c>
      <c r="C100" s="28" t="s">
        <v>216</v>
      </c>
      <c r="D100" s="29" t="s">
        <v>217</v>
      </c>
      <c r="E100" s="27" t="s">
        <v>36</v>
      </c>
      <c r="F100" s="30"/>
      <c r="G100" s="30"/>
      <c r="H100" s="31"/>
      <c r="I100" s="32" t="s">
        <v>315</v>
      </c>
      <c r="J100" s="33"/>
      <c r="K100" s="33"/>
      <c r="L100" s="30"/>
      <c r="M100" s="30"/>
      <c r="N100" s="28">
        <v>94</v>
      </c>
    </row>
    <row r="101" spans="2:14" ht="34" x14ac:dyDescent="0.2">
      <c r="B101" s="28" t="s">
        <v>183</v>
      </c>
      <c r="C101" s="28" t="s">
        <v>218</v>
      </c>
      <c r="D101" s="29" t="s">
        <v>219</v>
      </c>
      <c r="E101" s="27" t="s">
        <v>93</v>
      </c>
      <c r="F101" s="30"/>
      <c r="G101" s="30"/>
      <c r="H101" s="31"/>
      <c r="I101" s="32" t="s">
        <v>316</v>
      </c>
      <c r="J101" s="33"/>
      <c r="K101" s="33"/>
      <c r="L101" s="30"/>
      <c r="M101" s="30"/>
      <c r="N101" s="28">
        <v>95</v>
      </c>
    </row>
    <row r="102" spans="2:14" ht="34" x14ac:dyDescent="0.2">
      <c r="B102" s="28" t="s">
        <v>183</v>
      </c>
      <c r="C102" s="28" t="s">
        <v>220</v>
      </c>
      <c r="D102" s="29" t="s">
        <v>221</v>
      </c>
      <c r="E102" s="36" t="s">
        <v>19</v>
      </c>
      <c r="F102" s="30"/>
      <c r="G102" s="30"/>
      <c r="H102" s="31"/>
      <c r="I102" s="32" t="s">
        <v>317</v>
      </c>
      <c r="J102" s="33"/>
      <c r="K102" s="33"/>
      <c r="L102" s="30"/>
      <c r="M102" s="30"/>
      <c r="N102" s="28">
        <v>96</v>
      </c>
    </row>
    <row r="103" spans="2:14" ht="34" x14ac:dyDescent="0.2">
      <c r="B103" s="28" t="s">
        <v>183</v>
      </c>
      <c r="C103" s="28" t="s">
        <v>222</v>
      </c>
      <c r="D103" s="29" t="s">
        <v>223</v>
      </c>
      <c r="E103" s="26" t="s">
        <v>29</v>
      </c>
      <c r="F103" s="30"/>
      <c r="G103" s="30"/>
      <c r="H103" s="31"/>
      <c r="I103" s="32" t="s">
        <v>318</v>
      </c>
      <c r="J103" s="33"/>
      <c r="K103" s="33"/>
      <c r="L103" s="30"/>
      <c r="M103" s="30"/>
      <c r="N103" s="28">
        <v>97</v>
      </c>
    </row>
    <row r="104" spans="2:14" ht="51" x14ac:dyDescent="0.2">
      <c r="B104" s="28" t="s">
        <v>183</v>
      </c>
      <c r="C104" s="28" t="s">
        <v>224</v>
      </c>
      <c r="D104" s="29" t="s">
        <v>225</v>
      </c>
      <c r="E104" s="27" t="s">
        <v>93</v>
      </c>
      <c r="F104" s="30"/>
      <c r="G104" s="30"/>
      <c r="H104" s="31"/>
      <c r="I104" s="32" t="s">
        <v>319</v>
      </c>
      <c r="J104" s="33"/>
      <c r="K104" s="33"/>
      <c r="L104" s="30"/>
      <c r="M104" s="30"/>
      <c r="N104" s="28">
        <v>98</v>
      </c>
    </row>
    <row r="105" spans="2:14" ht="51" x14ac:dyDescent="0.2">
      <c r="B105" s="28" t="s">
        <v>183</v>
      </c>
      <c r="C105" s="28" t="s">
        <v>226</v>
      </c>
      <c r="D105" s="29" t="s">
        <v>227</v>
      </c>
      <c r="E105" s="27" t="s">
        <v>36</v>
      </c>
      <c r="F105" s="30"/>
      <c r="G105" s="30"/>
      <c r="H105" s="31"/>
      <c r="I105" s="32" t="s">
        <v>320</v>
      </c>
      <c r="J105" s="33"/>
      <c r="K105" s="33"/>
      <c r="L105" s="30"/>
      <c r="M105" s="30"/>
      <c r="N105" s="28">
        <v>99</v>
      </c>
    </row>
    <row r="106" spans="2:14" ht="68" x14ac:dyDescent="0.2">
      <c r="B106" s="28" t="s">
        <v>183</v>
      </c>
      <c r="C106" s="28" t="s">
        <v>228</v>
      </c>
      <c r="D106" s="29" t="s">
        <v>229</v>
      </c>
      <c r="E106" s="27" t="s">
        <v>93</v>
      </c>
      <c r="F106" s="30"/>
      <c r="G106" s="30"/>
      <c r="H106" s="31"/>
      <c r="I106" s="32" t="s">
        <v>321</v>
      </c>
      <c r="J106" s="33"/>
      <c r="K106" s="33"/>
      <c r="L106" s="30"/>
      <c r="M106" s="30"/>
      <c r="N106" s="28">
        <v>100</v>
      </c>
    </row>
    <row r="107" spans="2:14" ht="34" x14ac:dyDescent="0.2">
      <c r="B107" s="28" t="s">
        <v>183</v>
      </c>
      <c r="C107" s="28" t="s">
        <v>230</v>
      </c>
      <c r="D107" s="29" t="s">
        <v>231</v>
      </c>
      <c r="E107" s="27" t="s">
        <v>93</v>
      </c>
      <c r="F107" s="30"/>
      <c r="G107" s="30"/>
      <c r="H107" s="31"/>
      <c r="I107" s="32" t="s">
        <v>322</v>
      </c>
      <c r="J107" s="33"/>
      <c r="K107" s="33"/>
      <c r="L107" s="30"/>
      <c r="M107" s="30"/>
      <c r="N107" s="28">
        <v>101</v>
      </c>
    </row>
    <row r="108" spans="2:14" ht="34" x14ac:dyDescent="0.2">
      <c r="B108" s="28" t="s">
        <v>183</v>
      </c>
      <c r="C108" s="28" t="s">
        <v>232</v>
      </c>
      <c r="D108" s="29" t="s">
        <v>233</v>
      </c>
      <c r="E108" s="27" t="s">
        <v>93</v>
      </c>
      <c r="F108" s="30"/>
      <c r="G108" s="30"/>
      <c r="H108" s="31"/>
      <c r="I108" s="32" t="s">
        <v>323</v>
      </c>
      <c r="J108" s="33"/>
      <c r="K108" s="33"/>
      <c r="L108" s="30"/>
      <c r="M108" s="30"/>
      <c r="N108" s="28">
        <v>102</v>
      </c>
    </row>
    <row r="109" spans="2:14" ht="34" x14ac:dyDescent="0.2">
      <c r="B109" s="28" t="s">
        <v>183</v>
      </c>
      <c r="C109" s="28" t="s">
        <v>234</v>
      </c>
      <c r="D109" s="29" t="s">
        <v>235</v>
      </c>
      <c r="E109" s="27" t="s">
        <v>93</v>
      </c>
      <c r="F109" s="30"/>
      <c r="G109" s="30"/>
      <c r="H109" s="31"/>
      <c r="I109" s="32" t="s">
        <v>324</v>
      </c>
      <c r="J109" s="33"/>
      <c r="K109" s="33"/>
      <c r="L109" s="30"/>
      <c r="M109" s="30"/>
      <c r="N109" s="28">
        <v>103</v>
      </c>
    </row>
    <row r="110" spans="2:14" ht="34" x14ac:dyDescent="0.2">
      <c r="B110" s="28" t="s">
        <v>183</v>
      </c>
      <c r="C110" s="28" t="s">
        <v>236</v>
      </c>
      <c r="D110" s="29" t="s">
        <v>237</v>
      </c>
      <c r="E110" s="27" t="s">
        <v>93</v>
      </c>
      <c r="F110" s="30"/>
      <c r="G110" s="30"/>
      <c r="H110" s="31"/>
      <c r="I110" s="32" t="s">
        <v>326</v>
      </c>
      <c r="J110" s="33"/>
      <c r="K110" s="33"/>
      <c r="L110" s="30"/>
      <c r="M110" s="30"/>
      <c r="N110" s="28">
        <v>104</v>
      </c>
    </row>
    <row r="111" spans="2:14" ht="34" x14ac:dyDescent="0.2">
      <c r="B111" s="28" t="s">
        <v>183</v>
      </c>
      <c r="C111" s="28" t="s">
        <v>238</v>
      </c>
      <c r="D111" s="29" t="s">
        <v>239</v>
      </c>
      <c r="E111" s="26" t="s">
        <v>29</v>
      </c>
      <c r="F111" s="30"/>
      <c r="G111" s="30"/>
      <c r="H111" s="31"/>
      <c r="I111" s="32" t="s">
        <v>325</v>
      </c>
      <c r="J111" s="33"/>
      <c r="K111" s="33"/>
      <c r="L111" s="30"/>
      <c r="M111" s="30"/>
      <c r="N111" s="28">
        <v>105</v>
      </c>
    </row>
    <row r="112" spans="2:14" ht="34" x14ac:dyDescent="0.2">
      <c r="B112" s="28" t="s">
        <v>183</v>
      </c>
      <c r="C112" s="28" t="s">
        <v>240</v>
      </c>
      <c r="D112" s="29" t="s">
        <v>241</v>
      </c>
      <c r="E112" s="27" t="s">
        <v>168</v>
      </c>
      <c r="F112" s="30"/>
      <c r="G112" s="30"/>
      <c r="H112" s="31"/>
      <c r="I112" s="31" t="s">
        <v>292</v>
      </c>
      <c r="J112" s="33"/>
      <c r="K112" s="33"/>
      <c r="L112" s="30"/>
      <c r="M112" s="30"/>
      <c r="N112" s="28">
        <v>106</v>
      </c>
    </row>
    <row r="113" spans="2:14" ht="51" x14ac:dyDescent="0.2">
      <c r="B113" s="28" t="s">
        <v>183</v>
      </c>
      <c r="C113" s="28" t="s">
        <v>242</v>
      </c>
      <c r="D113" s="29" t="s">
        <v>243</v>
      </c>
      <c r="E113" s="27" t="s">
        <v>168</v>
      </c>
      <c r="F113" s="30"/>
      <c r="G113" s="30"/>
      <c r="H113" s="31"/>
      <c r="I113" s="31" t="s">
        <v>327</v>
      </c>
      <c r="J113" s="33"/>
      <c r="K113" s="33"/>
      <c r="L113" s="30"/>
      <c r="M113" s="30"/>
      <c r="N113" s="28">
        <v>107</v>
      </c>
    </row>
    <row r="114" spans="2:14" ht="17" x14ac:dyDescent="0.2">
      <c r="B114" s="28" t="s">
        <v>183</v>
      </c>
      <c r="C114" s="28" t="s">
        <v>244</v>
      </c>
      <c r="D114" s="29" t="s">
        <v>245</v>
      </c>
      <c r="E114" s="27" t="s">
        <v>168</v>
      </c>
      <c r="F114" s="30"/>
      <c r="G114" s="30"/>
      <c r="H114" s="31"/>
      <c r="I114" s="31" t="s">
        <v>328</v>
      </c>
      <c r="J114" s="33"/>
      <c r="K114" s="33"/>
      <c r="L114" s="30"/>
      <c r="M114" s="30"/>
      <c r="N114" s="28">
        <v>108</v>
      </c>
    </row>
    <row r="115" spans="2:14" ht="34" x14ac:dyDescent="0.2">
      <c r="B115" s="28" t="s">
        <v>183</v>
      </c>
      <c r="C115" s="28" t="s">
        <v>246</v>
      </c>
      <c r="D115" s="29" t="s">
        <v>247</v>
      </c>
      <c r="E115" s="27" t="s">
        <v>168</v>
      </c>
      <c r="F115" s="30"/>
      <c r="G115" s="30"/>
      <c r="H115" s="31"/>
      <c r="I115" s="31" t="s">
        <v>329</v>
      </c>
      <c r="J115" s="33"/>
      <c r="K115" s="33"/>
      <c r="L115" s="30"/>
      <c r="M115" s="30"/>
      <c r="N115" s="28">
        <v>109</v>
      </c>
    </row>
    <row r="116" spans="2:14" ht="34" x14ac:dyDescent="0.2">
      <c r="B116" s="28" t="s">
        <v>183</v>
      </c>
      <c r="C116" s="28" t="s">
        <v>248</v>
      </c>
      <c r="D116" s="29" t="s">
        <v>249</v>
      </c>
      <c r="E116" s="27" t="s">
        <v>93</v>
      </c>
      <c r="F116" s="30"/>
      <c r="G116" s="30"/>
      <c r="H116" s="31"/>
      <c r="I116" s="32" t="s">
        <v>330</v>
      </c>
      <c r="J116" s="33"/>
      <c r="K116" s="33"/>
      <c r="L116" s="30"/>
      <c r="M116" s="30"/>
      <c r="N116" s="28">
        <v>110</v>
      </c>
    </row>
  </sheetData>
  <sheetProtection sort="0" autoFilter="0"/>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5C8DDDF9-0703-2E4D-A4F1-534A79D41E06}">
          <x14:formula1>
            <xm:f>'Dropdown Options'!$A$1:$A$4</xm:f>
          </x14:formula1>
          <xm:sqref>F102:G111 F97:G98 F95:G95 F92:G93 F86:G89 F79:G84 F65:G76 F62:G63 F59:G60 F56:G57 F26:G54 F10:G24 F7:G8 F113:G116</xm:sqref>
        </x14:dataValidation>
        <x14:dataValidation type="list" allowBlank="1" showInputMessage="1" showErrorMessage="1" xr:uid="{44F754B9-D4FC-EF4D-82B6-4C0106AAE746}">
          <x14:formula1>
            <xm:f>'Dropdown Options'!$C$1:$C$5</xm:f>
          </x14:formula1>
          <xm:sqref>E7:E537</xm:sqref>
        </x14:dataValidation>
        <x14:dataValidation type="list" allowBlank="1" showInputMessage="1" showErrorMessage="1" xr:uid="{37CF547F-9B24-CC47-BA31-C436273EB6E9}">
          <x14:formula1>
            <xm:f>'Dropdown Options'!$B$1:$B$3</xm:f>
          </x14:formula1>
          <xm:sqref>F9:G9 F25:G25 F55:G55 F58:G58 F61:G61 F64:G64 F77:G78 F85:G85 F90:G91 F94:G94 F96:G96 F99:G101 F112:G112</xm:sqref>
        </x14:dataValidation>
        <x14:dataValidation type="list" allowBlank="1" showInputMessage="1" showErrorMessage="1" xr:uid="{E55FD466-EF84-5842-B40D-BA3F4933E7E4}">
          <x14:formula1>
            <xm:f>'Dropdown Options'!$D$1:$D$3</xm:f>
          </x14:formula1>
          <xm:sqref>D4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53319-E43C-A24A-A8A2-B6CC452C2D53}">
  <dimension ref="B2:K28"/>
  <sheetViews>
    <sheetView showGridLines="0" workbookViewId="0">
      <selection activeCell="L12" sqref="L12"/>
    </sheetView>
  </sheetViews>
  <sheetFormatPr baseColWidth="10" defaultColWidth="11" defaultRowHeight="16" x14ac:dyDescent="0.2"/>
  <cols>
    <col min="2" max="2" width="20.5" bestFit="1" customWidth="1"/>
    <col min="3" max="3" width="10.1640625" customWidth="1"/>
    <col min="4" max="4" width="15.5" bestFit="1" customWidth="1"/>
    <col min="5" max="5" width="15.6640625" bestFit="1" customWidth="1"/>
    <col min="6" max="6" width="20.1640625" bestFit="1" customWidth="1"/>
    <col min="7" max="7" width="11.6640625" bestFit="1" customWidth="1"/>
    <col min="8" max="8" width="18" bestFit="1" customWidth="1"/>
    <col min="9" max="9" width="24.5" bestFit="1" customWidth="1"/>
    <col min="11" max="11" width="11" style="7"/>
  </cols>
  <sheetData>
    <row r="2" spans="2:10" ht="20" x14ac:dyDescent="0.2">
      <c r="B2" s="9" t="s">
        <v>19</v>
      </c>
      <c r="C2" s="5" t="s">
        <v>250</v>
      </c>
      <c r="D2" s="5" t="s">
        <v>16</v>
      </c>
      <c r="E2" s="5" t="s">
        <v>47</v>
      </c>
      <c r="F2" s="5" t="s">
        <v>74</v>
      </c>
      <c r="G2" s="5" t="s">
        <v>94</v>
      </c>
      <c r="H2" s="5" t="s">
        <v>251</v>
      </c>
      <c r="I2" s="5" t="s">
        <v>183</v>
      </c>
      <c r="J2" s="17"/>
    </row>
    <row r="3" spans="2:10" x14ac:dyDescent="0.2">
      <c r="B3" s="5" t="s">
        <v>20</v>
      </c>
      <c r="C3" s="5">
        <f>COUNTIFS(Table1[Escalator Level],"Basic",Table1[Performance Determination],"Meets")</f>
        <v>0</v>
      </c>
      <c r="D3" s="5">
        <f>COUNTIFS(Table1[Escalator Level],"Basic",Table1[Performance Determination],"Meets",Table1[Principle], "Legal Compliance")</f>
        <v>0</v>
      </c>
      <c r="E3" s="5">
        <f>COUNTIFS(Table1[Escalator Level],"Basic",Table1[Performance Determination],"Meets",Table1[Principle], "Good Governance")</f>
        <v>0</v>
      </c>
      <c r="F3" s="5">
        <f>COUNTIFS(Table1[Escalator Level],"Basic",Table1[Performance Determination],"Meets",Table1[Principle], "Financial Management")</f>
        <v>0</v>
      </c>
      <c r="G3" s="5">
        <f>COUNTIFS(Table1[Escalator Level],"Basic",Table1[Performance Determination],"Meets",Table1[Principle],"Decent Work")</f>
        <v>0</v>
      </c>
      <c r="H3" s="5">
        <f>COUNTIFS(Table1[Escalator Level],"Basic",Table1[Performance Determination],"Meets",Table1[Principle], "Social Responsibility")</f>
        <v>0</v>
      </c>
      <c r="I3" s="5">
        <f>COUNTIFS(Table1[Escalator Level],"Basic",Table1[Performance Determination],"Meets",Table1[Principle], "Environmental Stewardship")</f>
        <v>0</v>
      </c>
    </row>
    <row r="4" spans="2:10" x14ac:dyDescent="0.2">
      <c r="B4" s="5" t="s">
        <v>252</v>
      </c>
      <c r="C4" s="5">
        <f>COUNTIFS(Table1[Escalator Level],"Basic",Table1[Performance Determination],"Partially Meets")</f>
        <v>0</v>
      </c>
      <c r="D4" s="5">
        <f>COUNTIFS(Table1[Escalator Level],"Basic",Table1[Performance Determination],"Partially Meets",Table1[Principle],"Legal Compliance")</f>
        <v>0</v>
      </c>
      <c r="E4" s="5">
        <f>COUNTIFS(Table1[Escalator Level],"Basic",Table1[Performance Determination],"Partially Meets",Table1[Principle],"Good Governance")</f>
        <v>0</v>
      </c>
      <c r="F4" s="5">
        <f>COUNTIFS(Table1[Escalator Level],"Basic",Table1[Performance Determination],"Partially Meets",Table1[Principle],"Financial Management")</f>
        <v>0</v>
      </c>
      <c r="G4" s="5">
        <f>COUNTIFS(Table1[Escalator Level],"Basic",Table1[Performance Determination],"Partially Meets",Table1[Principle],"Decent Work")</f>
        <v>0</v>
      </c>
      <c r="H4" s="5">
        <f>COUNTIFS(Table1[Escalator Level],"Basic",Table1[Performance Determination],"Partially Meets",Table1[Principle],"Social Responsibility")</f>
        <v>0</v>
      </c>
      <c r="I4" s="5">
        <f>COUNTIFS(Table1[Escalator Level],"Basic",Table1[Performance Determination],"Partially Meets",Table1[Principle],"Environmental Stewardship")</f>
        <v>0</v>
      </c>
    </row>
    <row r="5" spans="2:10" x14ac:dyDescent="0.2">
      <c r="B5" s="5" t="s">
        <v>40</v>
      </c>
      <c r="C5" s="5">
        <f>COUNTIFS(Table1[Escalator Level],"Basic",Table1[Performance Determination],"Misses")</f>
        <v>0</v>
      </c>
      <c r="D5" s="5">
        <f>COUNTIFS(Table1[Escalator Level],"Basic",Table1[Performance Determination],"Misses",Table1[Principle],"Legal Compliance")</f>
        <v>0</v>
      </c>
      <c r="E5" s="5">
        <f>COUNTIFS(Table1[Escalator Level],"Basic",Table1[Performance Determination],"Misses",Table1[Principle],"Good Governance")</f>
        <v>0</v>
      </c>
      <c r="F5" s="5">
        <f>COUNTIFS(Table1[Escalator Level],"Basic",Table1[Performance Determination],"Misses",Table1[Principle],"Financial Management")</f>
        <v>0</v>
      </c>
      <c r="G5" s="5">
        <f>COUNTIFS(Table1[Escalator Level],"Basic",Table1[Performance Determination],"Misses",Table1[Principle],"Decent Work")</f>
        <v>0</v>
      </c>
      <c r="H5" s="5">
        <f>COUNTIFS(Table1[Escalator Level],"Basic",Table1[Performance Determination],"Misses",Table1[Principle],"Social Responsibility")</f>
        <v>0</v>
      </c>
      <c r="I5" s="5">
        <f>COUNTIFS(Table1[Escalator Level],"Basic",Table1[Performance Determination],"Misses",Table1[Principle],"Environmental Stewardship")</f>
        <v>0</v>
      </c>
    </row>
    <row r="6" spans="2:10" x14ac:dyDescent="0.2">
      <c r="B6" s="5" t="s">
        <v>253</v>
      </c>
      <c r="C6" s="5">
        <f>COUNTIFS(Table1[Escalator Level],"Basic",Table1[Performance Determination],"")</f>
        <v>28</v>
      </c>
      <c r="D6" s="5">
        <f>COUNTIFS(Table1[Escalator Level],"Basic",Table1[Performance Determination],"",Table1[Principle], "Legal Compliance")</f>
        <v>6</v>
      </c>
      <c r="E6" s="5">
        <f>COUNTIFS(Table1[Escalator Level],"Basic",Table1[Performance Determination],"",Table1[Principle], "Good Governance")</f>
        <v>4</v>
      </c>
      <c r="F6" s="5">
        <f>COUNTIFS(Table1[Escalator Level],"Basic",Table1[Performance Determination],"",Table1[Principle], "Financial Management")</f>
        <v>2</v>
      </c>
      <c r="G6" s="5">
        <f>COUNTIFS(Table1[Escalator Level],"Basic",Table1[Performance Determination],"",Table1[Principle],"Decent Work")</f>
        <v>11</v>
      </c>
      <c r="H6" s="5">
        <f>COUNTIFS(Table1[Escalator Level],"Basic",Table1[Performance Determination],"",Table1[Principle], "Social Responsibility")</f>
        <v>0</v>
      </c>
      <c r="I6" s="5">
        <f>COUNTIFS(Table1[Escalator Level],"Basic",Table1[Performance Determination],"",Table1[Principle], "Environmental Stewardship")</f>
        <v>5</v>
      </c>
    </row>
    <row r="7" spans="2:10" x14ac:dyDescent="0.2">
      <c r="B7" s="5" t="s">
        <v>254</v>
      </c>
      <c r="C7" s="5">
        <f>COUNTIFS(Table1[Escalator Level],"Basic",Table1[Performance Determination],"N/A")</f>
        <v>0</v>
      </c>
      <c r="D7" s="5">
        <f>COUNTIFS(Table1[Escalator Level],"Basic",Table1[Performance Determination],"N/A",Table1[Principle], "Legal Compliance")</f>
        <v>0</v>
      </c>
      <c r="E7" s="5">
        <f>COUNTIFS(Table1[Escalator Level],"Basic",Table1[Performance Determination],"N/A",Table1[Principle], "Good Governance")</f>
        <v>0</v>
      </c>
      <c r="F7" s="5">
        <f>COUNTIFS(Table1[Escalator Level],"Basic",Table1[Performance Determination],"N/A",Table1[Principle], "Financial Management")</f>
        <v>0</v>
      </c>
      <c r="G7" s="5">
        <f>COUNTIFS(Table1[Escalator Level],"Basic",Table1[Performance Determination],"N/A",Table1[Principle],"Decent Work")</f>
        <v>0</v>
      </c>
      <c r="H7" s="5">
        <f>COUNTIFS(Table1[Escalator Level],"Basic",Table1[Performance Determination],"N/A",Table1[Principle], "Social Responsibility")</f>
        <v>0</v>
      </c>
      <c r="I7" s="5">
        <f>COUNTIFS(Table1[Escalator Level],"Basic",Table1[Performance Determination],"N/A",Table1[Principle], "Environmental Stewardship")</f>
        <v>0</v>
      </c>
    </row>
    <row r="8" spans="2:10" x14ac:dyDescent="0.2">
      <c r="B8" s="5" t="s">
        <v>255</v>
      </c>
      <c r="C8" s="5">
        <f t="shared" ref="C8:I8" si="0">SUM(C3:C7)</f>
        <v>28</v>
      </c>
      <c r="D8" s="5">
        <f t="shared" si="0"/>
        <v>6</v>
      </c>
      <c r="E8" s="5">
        <f t="shared" si="0"/>
        <v>4</v>
      </c>
      <c r="F8" s="5">
        <f t="shared" si="0"/>
        <v>2</v>
      </c>
      <c r="G8" s="5">
        <f t="shared" si="0"/>
        <v>11</v>
      </c>
      <c r="H8" s="5">
        <f t="shared" si="0"/>
        <v>0</v>
      </c>
      <c r="I8" s="5">
        <f t="shared" si="0"/>
        <v>5</v>
      </c>
    </row>
    <row r="9" spans="2:10" x14ac:dyDescent="0.2">
      <c r="B9" s="15" t="s">
        <v>267</v>
      </c>
      <c r="C9" s="16">
        <f>C3/C8</f>
        <v>0</v>
      </c>
      <c r="D9" s="16">
        <f>D3/D8</f>
        <v>0</v>
      </c>
      <c r="E9" s="16">
        <f>E3/E8</f>
        <v>0</v>
      </c>
      <c r="F9" s="16">
        <f>F3/F8</f>
        <v>0</v>
      </c>
      <c r="G9" s="16">
        <f>G3/G8</f>
        <v>0</v>
      </c>
      <c r="H9" s="16">
        <v>0</v>
      </c>
      <c r="I9" s="16">
        <v>1</v>
      </c>
    </row>
    <row r="11" spans="2:10" ht="20" x14ac:dyDescent="0.2">
      <c r="B11" s="9" t="s">
        <v>29</v>
      </c>
      <c r="C11" s="5" t="s">
        <v>250</v>
      </c>
      <c r="D11" s="5" t="s">
        <v>16</v>
      </c>
      <c r="E11" s="5" t="s">
        <v>47</v>
      </c>
      <c r="F11" s="5" t="s">
        <v>74</v>
      </c>
      <c r="G11" s="5" t="s">
        <v>94</v>
      </c>
      <c r="H11" s="5" t="s">
        <v>251</v>
      </c>
      <c r="I11" s="5" t="s">
        <v>183</v>
      </c>
      <c r="J11" s="17"/>
    </row>
    <row r="12" spans="2:10" x14ac:dyDescent="0.2">
      <c r="B12" s="5" t="s">
        <v>20</v>
      </c>
      <c r="C12" s="5">
        <f>COUNTIFS(Table1[Escalator Level],"Intermediate",Table1[Performance Determination],"Meets")</f>
        <v>0</v>
      </c>
      <c r="D12" s="5">
        <f>COUNTIFS(Table1[Escalator Level],"Intermediate",Table1[Performance Determination],"Meets",Table1[Principle],"Legal Compliance")</f>
        <v>0</v>
      </c>
      <c r="E12" s="5">
        <f>COUNTIFS(Table1[Escalator Level],"*"&amp;B11&amp;"*",Table1[Performance Determination],"Meets",Table1[Principle],"Good Governance")</f>
        <v>0</v>
      </c>
      <c r="F12" s="5">
        <f>COUNTIFS(Table1[Escalator Level],"Intermediate",Table1[Performance Determination],"Meets",Table1[Principle],"Financial Management")</f>
        <v>0</v>
      </c>
      <c r="G12" s="5">
        <f>COUNTIFS(Table1[Escalator Level],"Intermediate",Table1[Performance Determination],"Meets",Table1[Principle],"Decent Work")</f>
        <v>0</v>
      </c>
      <c r="H12" s="5">
        <f>COUNTIFS(Table1[Escalator Level],"Intermediate",Table1[Performance Determination],"Meets",Table1[Principle],"Social Responsibility")</f>
        <v>0</v>
      </c>
      <c r="I12" s="5">
        <f>COUNTIFS(Table1[Escalator Level],"Intermediate",Table1[Performance Determination],"Meets",Table1[Principle],"Environmental Stewardship")</f>
        <v>0</v>
      </c>
    </row>
    <row r="13" spans="2:10" x14ac:dyDescent="0.2">
      <c r="B13" s="5" t="s">
        <v>252</v>
      </c>
      <c r="C13" s="5">
        <f>COUNTIFS(Table1[Escalator Level],"intermediate",Table1[Performance Determination],"Partially Meets")</f>
        <v>0</v>
      </c>
      <c r="D13" s="5">
        <f>COUNTIFS(Table1[Escalator Level],"Intermediate",Table1[Performance Determination],"Partially Meets",Table1[Principle],"Legal Compliance")</f>
        <v>0</v>
      </c>
      <c r="E13" s="5">
        <f>COUNTIFS(Table1[Escalator Level],"Intermediate",Table1[Performance Determination],"Partially Meets",Table1[Principle],"Good Governance")</f>
        <v>0</v>
      </c>
      <c r="F13" s="5">
        <f>COUNTIFS(Table1[Escalator Level],"Intermediate",Table1[Performance Determination],"Partially Meets",Table1[Principle],"Financial Management")</f>
        <v>0</v>
      </c>
      <c r="G13" s="5">
        <f>COUNTIFS(Table1[Escalator Level],"Intermediate",Table1[Performance Determination],"Partially Meets",Table1[Principle],"Decent Work")</f>
        <v>0</v>
      </c>
      <c r="H13" s="5">
        <f>COUNTIFS(Table1[Escalator Level],"Intermediate",Table1[Performance Determination],"Partially Meets",Table1[Principle],"Social Responsibility")</f>
        <v>0</v>
      </c>
      <c r="I13" s="5">
        <f>COUNTIFS(Table1[Escalator Level],"Intermediate",Table1[Performance Determination],"Partially Meets",Table1[Principle],"Environmental Stewardship")</f>
        <v>0</v>
      </c>
    </row>
    <row r="14" spans="2:10" x14ac:dyDescent="0.2">
      <c r="B14" s="5" t="s">
        <v>40</v>
      </c>
      <c r="C14" s="5">
        <f>COUNTIFS(Table1[Escalator Level],"Intermediate",Table1[Performance Determination],"Misses")</f>
        <v>0</v>
      </c>
      <c r="D14" s="5">
        <f>COUNTIFS(Table1[Escalator Level],"Intermediate",Table1[Performance Determination],"Misses",Table1[Principle],"Legal Compliance")</f>
        <v>0</v>
      </c>
      <c r="E14" s="5">
        <f>COUNTIFS(Table1[Escalator Level],"Intermediate",Table1[Performance Determination],"Misses",Table1[Principle],"Good Governance")</f>
        <v>0</v>
      </c>
      <c r="F14" s="5">
        <f>COUNTIFS(Table1[Escalator Level],"Intermediate",Table1[Performance Determination],"Misses",Table1[Principle],"Financial Management")</f>
        <v>0</v>
      </c>
      <c r="G14" s="5">
        <f>COUNTIFS(Table1[Escalator Level],"Intermediate",Table1[Performance Determination],"Misses",Table1[Principle],"Decent Work")</f>
        <v>0</v>
      </c>
      <c r="H14" s="5">
        <f>COUNTIFS(Table1[Escalator Level],"Intermediate",Table1[Performance Determination],"Misses",Table1[Principle],"Social Responsibility")</f>
        <v>0</v>
      </c>
      <c r="I14" s="5">
        <f>COUNTIFS(Table1[Escalator Level],"Intermediate",Table1[Performance Determination],"Misses",Table1[Principle],"Environmental Stewardship")</f>
        <v>0</v>
      </c>
    </row>
    <row r="15" spans="2:10" x14ac:dyDescent="0.2">
      <c r="B15" s="5" t="s">
        <v>253</v>
      </c>
      <c r="C15" s="5">
        <f>COUNTIFS(Table1[Escalator Level],"Intermediate",Table1[Performance Determination],"")</f>
        <v>35</v>
      </c>
      <c r="D15" s="5">
        <f>COUNTIFS(Table1[Escalator Level],"Intermediate",Table1[Performance Determination],"",Table1[Principle],"Legal Compliance")</f>
        <v>4</v>
      </c>
      <c r="E15" s="5">
        <f>COUNTIFS(Table1[Escalator Level],"Intermediate",Table1[Performance Determination],"",Table1[Principle],"Good Governance")</f>
        <v>6</v>
      </c>
      <c r="F15" s="5">
        <f>COUNTIFS(Table1[Escalator Level],"Intermediate",Table1[Performance Determination],"",Table1[Principle],"Financial Management")</f>
        <v>3</v>
      </c>
      <c r="G15" s="5">
        <f>COUNTIFS(Table1[Escalator Level],"Intermediate",Table1[Performance Determination],"",Table1[Principle],"Decent Work")</f>
        <v>11</v>
      </c>
      <c r="H15" s="5">
        <f>COUNTIFS(Table1[Escalator Level],"Intermediate",Table1[Performance Determination],"",Table1[Principle],"Social Responsibility")</f>
        <v>2</v>
      </c>
      <c r="I15" s="5">
        <f>COUNTIFS(Table1[Escalator Level],"Intermediate",Table1[Performance Determination],"",Table1[Principle],"Environmental Stewardship")</f>
        <v>9</v>
      </c>
    </row>
    <row r="16" spans="2:10" x14ac:dyDescent="0.2">
      <c r="B16" s="5" t="s">
        <v>254</v>
      </c>
      <c r="C16" s="5">
        <f>COUNTIFS(Table1[Escalator Level],"Intermediate",Table1[Performance Determination],"N/A")</f>
        <v>0</v>
      </c>
      <c r="D16" s="5">
        <f>COUNTIFS(Table1[Escalator Level],"Intermediate",Table1[Performance Determination],"N/A",Table1[Principle],"Legal Compliance")</f>
        <v>0</v>
      </c>
      <c r="E16" s="5">
        <f>COUNTIFS(Table1[Escalator Level],"Intermediate",Table1[Performance Determination],"N/A",Table1[Principle],"Good Governance")</f>
        <v>0</v>
      </c>
      <c r="F16" s="5">
        <f>COUNTIFS(Table1[Escalator Level],"Intermediate",Table1[Performance Determination],"N/A",Table1[Principle],"Financial Management")</f>
        <v>0</v>
      </c>
      <c r="G16" s="5">
        <f>COUNTIFS(Table1[Escalator Level],"Intermediate",Table1[Performance Determination],"N/A",Table1[Principle],"Decent Work")</f>
        <v>0</v>
      </c>
      <c r="H16" s="5">
        <f>COUNTIFS(Table1[Escalator Level],"Intermediate",Table1[Performance Determination],"N/A",Table1[Principle],"Social Responsibility")</f>
        <v>0</v>
      </c>
      <c r="I16" s="5">
        <f>COUNTIFS(Table1[Escalator Level],"Intermediate",Table1[Performance Determination],"N/A",Table1[Principle],"Environmental Stewardship")</f>
        <v>0</v>
      </c>
    </row>
    <row r="17" spans="2:10" x14ac:dyDescent="0.2">
      <c r="B17" s="5" t="s">
        <v>255</v>
      </c>
      <c r="C17" s="5">
        <v>35</v>
      </c>
      <c r="D17" s="5">
        <f t="shared" ref="D17" si="1">SUM(D12:D16)</f>
        <v>4</v>
      </c>
      <c r="E17" s="5">
        <f t="shared" ref="E17" si="2">SUM(E12:E16)</f>
        <v>6</v>
      </c>
      <c r="F17" s="5">
        <f t="shared" ref="F17" si="3">SUM(F12:F16)</f>
        <v>3</v>
      </c>
      <c r="G17" s="5">
        <f t="shared" ref="G17" si="4">SUM(G12:G16)</f>
        <v>11</v>
      </c>
      <c r="H17" s="5">
        <f t="shared" ref="H17" si="5">SUM(H12:H16)</f>
        <v>2</v>
      </c>
      <c r="I17" s="5">
        <f t="shared" ref="I17" si="6">SUM(I12:I16)</f>
        <v>9</v>
      </c>
    </row>
    <row r="18" spans="2:10" x14ac:dyDescent="0.2">
      <c r="B18" s="15" t="s">
        <v>266</v>
      </c>
      <c r="C18" s="16">
        <f t="shared" ref="C18:I18" si="7">C12/C17</f>
        <v>0</v>
      </c>
      <c r="D18" s="16">
        <f t="shared" si="7"/>
        <v>0</v>
      </c>
      <c r="E18" s="16">
        <f t="shared" si="7"/>
        <v>0</v>
      </c>
      <c r="F18" s="16">
        <f t="shared" si="7"/>
        <v>0</v>
      </c>
      <c r="G18" s="16">
        <f t="shared" si="7"/>
        <v>0</v>
      </c>
      <c r="H18" s="16">
        <f t="shared" si="7"/>
        <v>0</v>
      </c>
      <c r="I18" s="16">
        <f t="shared" si="7"/>
        <v>0</v>
      </c>
    </row>
    <row r="20" spans="2:10" ht="20" x14ac:dyDescent="0.2">
      <c r="B20" s="9" t="s">
        <v>256</v>
      </c>
      <c r="C20" s="5" t="s">
        <v>250</v>
      </c>
      <c r="D20" s="5" t="s">
        <v>16</v>
      </c>
      <c r="E20" s="5" t="s">
        <v>47</v>
      </c>
      <c r="F20" s="5" t="s">
        <v>74</v>
      </c>
      <c r="G20" s="5" t="s">
        <v>94</v>
      </c>
      <c r="H20" s="5" t="s">
        <v>251</v>
      </c>
      <c r="I20" s="5" t="s">
        <v>183</v>
      </c>
      <c r="J20" s="17"/>
    </row>
    <row r="21" spans="2:10" x14ac:dyDescent="0.2">
      <c r="B21" s="5" t="s">
        <v>20</v>
      </c>
      <c r="C21" s="5">
        <f>COUNTIFS(Table1[Escalator Level],"*"&amp;B20&amp;"*",Table1[Performance Determination],"Meets")</f>
        <v>0</v>
      </c>
      <c r="D21" s="5">
        <f>COUNTIFS(Table1[Escalator Level],"*"&amp;B20&amp;"*",Table1[Performance Determination],"Meets",Table1[Principle],"Legal Compliance")</f>
        <v>0</v>
      </c>
      <c r="E21" s="5">
        <f>COUNTIFS(Table1[Escalator Level],"*"&amp;B20&amp;"*",Table1[Performance Determination],"Meets",Table1[Principle],"Good Governance")</f>
        <v>0</v>
      </c>
      <c r="F21" s="5">
        <f>COUNTIFS(Table1[Escalator Level],"*"&amp;B20&amp;"*",Table1[Performance Determination],"Meets",Table1[Principle],"Financial Management")</f>
        <v>0</v>
      </c>
      <c r="G21" s="5">
        <f>COUNTIFS(Table1[Escalator Level],"*"&amp;B20&amp;"*",Table1[Performance Determination],"Meets",Table1[Principle],"Decent Work")</f>
        <v>0</v>
      </c>
      <c r="H21" s="5">
        <f>COUNTIFS(Table1[Escalator Level],"*"&amp;B20&amp;"*",Table1[Performance Determination],"Meets",Table1[Principle],"Social Responsibility")</f>
        <v>0</v>
      </c>
      <c r="I21" s="5">
        <f>COUNTIFS(Table1[Escalator Level],"*"&amp;B20&amp;"*",Table1[Performance Determination],"Meets",Table1[Principle],"Environmental Stewardship")</f>
        <v>0</v>
      </c>
    </row>
    <row r="22" spans="2:10" x14ac:dyDescent="0.2">
      <c r="B22" s="5" t="s">
        <v>252</v>
      </c>
      <c r="C22" s="5">
        <f>COUNTIFS(Table1[Escalator Level],"*"&amp;B20&amp;"*",Table1[Performance Determination],"Partially Meets")</f>
        <v>0</v>
      </c>
      <c r="D22" s="5">
        <f>COUNTIFS(Table1[Escalator Level],"*"&amp;B20&amp;"*",Table1[Performance Determination],"Partially Meets",Table1[Principle],"Legal Compliance")</f>
        <v>0</v>
      </c>
      <c r="E22" s="5">
        <f>COUNTIFS(Table1[Escalator Level],"*"&amp;B20&amp;"*",Table1[Performance Determination],"Partially Meets",Table1[Principle],"Good Governance")</f>
        <v>0</v>
      </c>
      <c r="F22" s="5">
        <f>COUNTIFS(Table1[Escalator Level],"*"&amp;B20&amp;"*",Table1[Performance Determination],"Partially Meets",Table1[Principle],"Financial Management")</f>
        <v>0</v>
      </c>
      <c r="G22" s="5">
        <f>COUNTIFS(Table1[Escalator Level],"*"&amp;B20&amp;"*",Table1[Performance Determination],"Partially Meets",Table1[Principle],"Decent Work")</f>
        <v>0</v>
      </c>
      <c r="H22" s="5">
        <f>COUNTIFS(Table1[Escalator Level],"*"&amp;B20&amp;"*",Table1[Performance Determination],"Partially Meets",Table1[Principle],"Social Responsibility")</f>
        <v>0</v>
      </c>
      <c r="I22" s="5">
        <f>COUNTIFS(Table1[Escalator Level],"*"&amp;B20&amp;"*",Table1[Performance Determination],"Partially Meets",Table1[Principle],"Environmental Stewardship")</f>
        <v>0</v>
      </c>
    </row>
    <row r="23" spans="2:10" x14ac:dyDescent="0.2">
      <c r="B23" s="5" t="s">
        <v>40</v>
      </c>
      <c r="C23" s="5">
        <f>COUNTIFS(Table1[Escalator Level],"*"&amp;B20&amp;"*",Table1[Performance Determination],"Misses")</f>
        <v>0</v>
      </c>
      <c r="D23" s="5">
        <f>COUNTIFS(Table1[Escalator Level],"*"&amp;B20&amp;"*",Table1[Performance Determination],"Misses",Table1[Principle],"Legal Compliance")</f>
        <v>0</v>
      </c>
      <c r="E23" s="5">
        <f>COUNTIFS(Table1[Escalator Level],"*"&amp;B20&amp;"*",Table1[Performance Determination],"Misses",Table1[Principle],"Good Governance")</f>
        <v>0</v>
      </c>
      <c r="F23" s="5">
        <f>COUNTIFS(Table1[Escalator Level],"*"&amp;B20&amp;"*",Table1[Performance Determination],"Misses",Table1[Principle],"Good Governance")</f>
        <v>0</v>
      </c>
      <c r="G23" s="5">
        <f>COUNTIFS(Table1[Escalator Level],"*"&amp;B20&amp;"*",Table1[Performance Determination],"Misses",Table1[Principle],"Decent Work")</f>
        <v>0</v>
      </c>
      <c r="H23" s="5">
        <f>COUNTIFS(Table1[Escalator Level],"*"&amp;B20&amp;"*",Table1[Performance Determination],"Misses",Table1[Principle],"Social Responsibility")</f>
        <v>0</v>
      </c>
      <c r="I23" s="5">
        <f>COUNTIFS(Table1[Escalator Level],"*"&amp;B20&amp;"*",Table1[Performance Determination],"Misses",Table1[Principle],"Environmental Stewardship")</f>
        <v>0</v>
      </c>
    </row>
    <row r="24" spans="2:10" x14ac:dyDescent="0.2">
      <c r="B24" s="5" t="s">
        <v>253</v>
      </c>
      <c r="C24" s="5">
        <f>COUNTIFS(Table1[Escalator Level],"*"&amp;B20&amp;"*",Table1[Performance Determination],"")</f>
        <v>47</v>
      </c>
      <c r="D24" s="5">
        <f>COUNTIFS(Table1[Escalator Level],"*"&amp;B20&amp;"*",Table1[Performance Determination],"",Table1[Principle],"Legal Compliance")</f>
        <v>2</v>
      </c>
      <c r="E24" s="5">
        <f>COUNTIFS(Table1[Escalator Level],"*"&amp;B20&amp;"*",Table1[Performance Determination],"",Table1[Principle],"Good Governance")</f>
        <v>3</v>
      </c>
      <c r="F24" s="5">
        <f>COUNTIFS(Table1[Escalator Level],"*"&amp;B20&amp;"*",Table1[Performance Determination],"",Table1[Principle],"Financial Management")</f>
        <v>4</v>
      </c>
      <c r="G24" s="5">
        <f>COUNTIFS(Table1[Escalator Level],"*"&amp;B20&amp;"*",Table1[Performance Determination],"",Table1[Principle],"Decent Work")</f>
        <v>9</v>
      </c>
      <c r="H24" s="5">
        <f>COUNTIFS(Table1[Escalator Level],"*"&amp;B20&amp;"*",Table1[Performance Determination],"",Table1[Principle],"Social Responsibility")</f>
        <v>10</v>
      </c>
      <c r="I24" s="5">
        <f>COUNTIFS(Table1[Escalator Level],"*"&amp;B20&amp;"*",Table1[Performance Determination],"",Table1[Principle],"Environmental Stewardship")</f>
        <v>19</v>
      </c>
    </row>
    <row r="25" spans="2:10" x14ac:dyDescent="0.2">
      <c r="B25" s="5" t="s">
        <v>254</v>
      </c>
      <c r="C25" s="5">
        <f>COUNTIFS(Table1[Escalator Level],"*"&amp;B20&amp;"*",Table1[Performance Determination],"N/A")</f>
        <v>0</v>
      </c>
      <c r="D25" s="5">
        <f>COUNTIFS(Table1[Escalator Level],"*"&amp;B20&amp;"*",Table1[Performance Determination],"N/A",Table1[Principle],"Legal Compliance")</f>
        <v>0</v>
      </c>
      <c r="E25" s="5">
        <f>COUNTIFS(Table1[Escalator Level],"*"&amp;B20&amp;"*",Table1[Performance Determination],"N/A",Table1[Principle],"Good Governance")</f>
        <v>0</v>
      </c>
      <c r="F25" s="5">
        <f>COUNTIFS(Table1[Escalator Level],"*"&amp;B20&amp;"*",Table1[Performance Determination],"N/A",Table1[Principle],"Financial Management")</f>
        <v>0</v>
      </c>
      <c r="G25" s="5">
        <f>COUNTIFS(Table1[Escalator Level],"*"&amp;B20&amp;"*",Table1[Performance Determination],"N/A",Table1[Principle],"Decent Work")</f>
        <v>0</v>
      </c>
      <c r="H25" s="5">
        <f>COUNTIFS(Table1[Escalator Level],"*"&amp;B20&amp;"*",Table1[Performance Determination],"N/A",Table1[Principle],"Social Responsibility")</f>
        <v>0</v>
      </c>
      <c r="I25" s="5">
        <f>COUNTIFS(Table1[Escalator Level],"*"&amp;B20&amp;"*",Table1[Performance Determination],"N/A",Table1[Principle],"Environmental Stewardship")</f>
        <v>0</v>
      </c>
    </row>
    <row r="26" spans="2:10" x14ac:dyDescent="0.2">
      <c r="B26" s="5" t="s">
        <v>255</v>
      </c>
      <c r="C26" s="5">
        <f>SUM(C21:C25)</f>
        <v>47</v>
      </c>
      <c r="D26" s="5">
        <f t="shared" ref="D26" si="8">SUM(D21:D25)</f>
        <v>2</v>
      </c>
      <c r="E26" s="5">
        <f t="shared" ref="E26" si="9">SUM(E21:E25)</f>
        <v>3</v>
      </c>
      <c r="F26" s="5">
        <f t="shared" ref="F26" si="10">SUM(F21:F25)</f>
        <v>4</v>
      </c>
      <c r="G26" s="5">
        <f t="shared" ref="G26" si="11">SUM(G21:G25)</f>
        <v>9</v>
      </c>
      <c r="H26" s="5">
        <f t="shared" ref="H26" si="12">SUM(H21:H25)</f>
        <v>10</v>
      </c>
      <c r="I26" s="5">
        <f t="shared" ref="I26" si="13">SUM(I21:I25)</f>
        <v>19</v>
      </c>
    </row>
    <row r="27" spans="2:10" x14ac:dyDescent="0.2">
      <c r="B27" s="15" t="s">
        <v>267</v>
      </c>
      <c r="C27" s="16">
        <f t="shared" ref="C27:I27" si="14">C21/C26</f>
        <v>0</v>
      </c>
      <c r="D27" s="16">
        <f t="shared" si="14"/>
        <v>0</v>
      </c>
      <c r="E27" s="16">
        <f t="shared" si="14"/>
        <v>0</v>
      </c>
      <c r="F27" s="16">
        <f t="shared" si="14"/>
        <v>0</v>
      </c>
      <c r="G27" s="16">
        <f t="shared" si="14"/>
        <v>0</v>
      </c>
      <c r="H27" s="16">
        <f t="shared" si="14"/>
        <v>0</v>
      </c>
      <c r="I27" s="16">
        <f t="shared" si="14"/>
        <v>0</v>
      </c>
    </row>
    <row r="28" spans="2:10" x14ac:dyDescent="0.2">
      <c r="B28" s="6"/>
    </row>
  </sheetData>
  <sheetProtection algorithmName="SHA-512" hashValue="uG/s9pmKiygLzuUSPpc539bS1iwd/G1KepixpjrA6+8aU0oM71fEMizDmTZqqWF9EmKrhu3Aw/4Q9VbF6LUhGQ==" saltValue="Mx5aPzsRvTiy30G0FYV/X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18DFA-99D4-024C-A59E-D25CEA38C201}">
  <dimension ref="A1:T100"/>
  <sheetViews>
    <sheetView showGridLines="0" topLeftCell="A46" workbookViewId="0">
      <selection activeCell="M60" sqref="M60"/>
    </sheetView>
  </sheetViews>
  <sheetFormatPr baseColWidth="10" defaultColWidth="0" defaultRowHeight="16" zeroHeight="1" x14ac:dyDescent="0.2"/>
  <cols>
    <col min="1" max="1" width="10.6640625" style="7" customWidth="1"/>
    <col min="2" max="2" width="32.1640625" style="7" bestFit="1" customWidth="1"/>
    <col min="3" max="3" width="15.5" style="7" bestFit="1" customWidth="1"/>
    <col min="4" max="4" width="6.6640625" style="7" bestFit="1" customWidth="1"/>
    <col min="5" max="5" width="4.5" style="7" bestFit="1" customWidth="1"/>
    <col min="6" max="6" width="7" style="7" bestFit="1" customWidth="1"/>
    <col min="7" max="7" width="10.6640625" style="7" customWidth="1"/>
    <col min="8" max="8" width="19.6640625" style="7" customWidth="1"/>
    <col min="9" max="9" width="16.6640625" style="7" customWidth="1"/>
    <col min="10" max="20" width="10.6640625" style="7" customWidth="1"/>
    <col min="21" max="16384" width="10.6640625" style="7" hidden="1"/>
  </cols>
  <sheetData>
    <row r="1" spans="2:19" x14ac:dyDescent="0.2"/>
    <row r="2" spans="2:19" ht="21" customHeight="1" x14ac:dyDescent="0.2">
      <c r="B2" s="22" t="str">
        <f>_xlfn.CONCAT("Performance Report for ",'Data Entry'!D2," ",'Data Entry'!F2)</f>
        <v xml:space="preserve">Performance Report for  </v>
      </c>
      <c r="C2" s="22"/>
      <c r="D2" s="22"/>
      <c r="E2" s="22"/>
      <c r="F2" s="22"/>
      <c r="G2" s="22"/>
      <c r="H2" s="22"/>
      <c r="I2" s="22"/>
      <c r="J2" s="22"/>
      <c r="K2" s="22"/>
      <c r="L2" s="22"/>
      <c r="M2" s="22"/>
      <c r="N2" s="22"/>
      <c r="O2" s="22"/>
      <c r="P2" s="22"/>
      <c r="Q2" s="22"/>
      <c r="R2" s="22"/>
      <c r="S2" s="22"/>
    </row>
    <row r="3" spans="2:19" x14ac:dyDescent="0.2">
      <c r="B3" s="22"/>
      <c r="C3" s="22"/>
      <c r="D3" s="22"/>
      <c r="E3" s="22"/>
      <c r="F3" s="22"/>
      <c r="G3" s="22"/>
      <c r="H3" s="22"/>
      <c r="I3" s="22"/>
      <c r="J3" s="22"/>
      <c r="K3" s="22"/>
      <c r="L3" s="22"/>
      <c r="M3" s="22"/>
      <c r="N3" s="22"/>
      <c r="O3" s="22"/>
      <c r="P3" s="22"/>
      <c r="Q3" s="22"/>
      <c r="R3" s="22"/>
      <c r="S3" s="22"/>
    </row>
    <row r="4" spans="2:19" ht="17" thickBot="1" x14ac:dyDescent="0.25">
      <c r="B4" s="23"/>
      <c r="C4" s="23"/>
      <c r="D4" s="23"/>
      <c r="E4" s="23"/>
      <c r="F4" s="23"/>
      <c r="G4" s="23"/>
      <c r="H4" s="23"/>
      <c r="I4" s="23"/>
      <c r="J4" s="23"/>
      <c r="K4" s="23"/>
      <c r="L4" s="23"/>
      <c r="M4" s="23"/>
      <c r="N4" s="23"/>
      <c r="O4" s="23"/>
      <c r="P4" s="23"/>
      <c r="Q4" s="23"/>
      <c r="R4" s="23"/>
      <c r="S4" s="23"/>
    </row>
    <row r="5" spans="2:19" customFormat="1" ht="17" thickTop="1" x14ac:dyDescent="0.2"/>
    <row r="6" spans="2:19" customFormat="1" x14ac:dyDescent="0.2"/>
    <row r="7" spans="2:19" x14ac:dyDescent="0.2">
      <c r="B7" s="13" t="s">
        <v>8</v>
      </c>
      <c r="C7" s="18" t="s">
        <v>260</v>
      </c>
      <c r="D7" s="18"/>
      <c r="E7"/>
      <c r="F7"/>
      <c r="G7"/>
    </row>
    <row r="8" spans="2:19" x14ac:dyDescent="0.2">
      <c r="B8"/>
      <c r="C8"/>
      <c r="D8"/>
      <c r="E8"/>
      <c r="F8"/>
      <c r="G8"/>
    </row>
    <row r="9" spans="2:19" x14ac:dyDescent="0.2">
      <c r="B9" s="13" t="s">
        <v>265</v>
      </c>
      <c r="C9" s="13" t="s">
        <v>261</v>
      </c>
      <c r="D9"/>
      <c r="E9"/>
      <c r="F9"/>
      <c r="G9"/>
    </row>
    <row r="10" spans="2:19" x14ac:dyDescent="0.2">
      <c r="B10" s="13" t="s">
        <v>262</v>
      </c>
      <c r="C10" t="s">
        <v>20</v>
      </c>
      <c r="D10" t="s">
        <v>40</v>
      </c>
      <c r="E10" t="s">
        <v>37</v>
      </c>
      <c r="F10" t="s">
        <v>264</v>
      </c>
      <c r="G10" t="s">
        <v>263</v>
      </c>
    </row>
    <row r="11" spans="2:19" x14ac:dyDescent="0.2">
      <c r="B11" s="12" t="s">
        <v>94</v>
      </c>
      <c r="C11" s="14">
        <v>17</v>
      </c>
      <c r="D11" s="14">
        <v>6</v>
      </c>
      <c r="E11" s="14">
        <v>6</v>
      </c>
      <c r="F11" s="14"/>
      <c r="G11" s="14">
        <v>29</v>
      </c>
      <c r="H11"/>
      <c r="I11"/>
    </row>
    <row r="12" spans="2:19" x14ac:dyDescent="0.2">
      <c r="B12" s="12" t="s">
        <v>183</v>
      </c>
      <c r="C12" s="14">
        <v>18</v>
      </c>
      <c r="D12" s="14">
        <v>5</v>
      </c>
      <c r="E12" s="14">
        <v>9</v>
      </c>
      <c r="F12" s="14"/>
      <c r="G12" s="14">
        <v>32</v>
      </c>
      <c r="H12"/>
      <c r="I12"/>
    </row>
    <row r="13" spans="2:19" x14ac:dyDescent="0.2">
      <c r="B13" s="12" t="s">
        <v>74</v>
      </c>
      <c r="C13" s="14">
        <v>7</v>
      </c>
      <c r="D13" s="14">
        <v>2</v>
      </c>
      <c r="E13" s="14"/>
      <c r="F13" s="14"/>
      <c r="G13" s="14">
        <v>9</v>
      </c>
      <c r="H13"/>
      <c r="I13"/>
    </row>
    <row r="14" spans="2:19" x14ac:dyDescent="0.2">
      <c r="B14" s="12" t="s">
        <v>47</v>
      </c>
      <c r="C14" s="14">
        <v>5</v>
      </c>
      <c r="D14" s="14">
        <v>5</v>
      </c>
      <c r="E14" s="14">
        <v>2</v>
      </c>
      <c r="F14" s="14"/>
      <c r="G14" s="14">
        <v>12</v>
      </c>
      <c r="H14"/>
      <c r="I14"/>
    </row>
    <row r="15" spans="2:19" x14ac:dyDescent="0.2">
      <c r="B15" s="12" t="s">
        <v>16</v>
      </c>
      <c r="C15" s="14">
        <v>10</v>
      </c>
      <c r="D15" s="14">
        <v>1</v>
      </c>
      <c r="E15" s="14">
        <v>1</v>
      </c>
      <c r="F15" s="14"/>
      <c r="G15" s="14">
        <v>12</v>
      </c>
      <c r="H15"/>
      <c r="I15"/>
    </row>
    <row r="16" spans="2:19" x14ac:dyDescent="0.2">
      <c r="B16" s="12" t="s">
        <v>157</v>
      </c>
      <c r="C16" s="14">
        <v>3</v>
      </c>
      <c r="D16" s="14">
        <v>2</v>
      </c>
      <c r="E16" s="14">
        <v>6</v>
      </c>
      <c r="F16" s="14"/>
      <c r="G16" s="14">
        <v>11</v>
      </c>
      <c r="H16"/>
      <c r="I16"/>
    </row>
    <row r="17" spans="2:9" x14ac:dyDescent="0.2">
      <c r="B17" s="12" t="s">
        <v>263</v>
      </c>
      <c r="C17" s="14">
        <v>60</v>
      </c>
      <c r="D17" s="14">
        <v>21</v>
      </c>
      <c r="E17" s="14">
        <v>24</v>
      </c>
      <c r="F17" s="14"/>
      <c r="G17" s="14">
        <v>105</v>
      </c>
      <c r="H17"/>
      <c r="I17"/>
    </row>
    <row r="18" spans="2:9" customFormat="1" x14ac:dyDescent="0.2"/>
    <row r="19" spans="2:9" x14ac:dyDescent="0.2">
      <c r="B19" s="24"/>
      <c r="C19" s="24"/>
      <c r="E19" s="25"/>
      <c r="F19" s="25"/>
      <c r="H19" s="24"/>
      <c r="I19" s="24"/>
    </row>
    <row r="20" spans="2:9" x14ac:dyDescent="0.2">
      <c r="E20" s="8"/>
      <c r="F20" s="8"/>
    </row>
    <row r="21" spans="2:9" x14ac:dyDescent="0.2">
      <c r="E21" s="8"/>
      <c r="F21" s="8"/>
    </row>
    <row r="22" spans="2:9" x14ac:dyDescent="0.2">
      <c r="E22" s="8"/>
      <c r="F22" s="8"/>
    </row>
    <row r="23" spans="2:9" x14ac:dyDescent="0.2">
      <c r="E23" s="8"/>
      <c r="F23" s="8"/>
    </row>
    <row r="24" spans="2:9" x14ac:dyDescent="0.2">
      <c r="E24" s="8"/>
      <c r="F24" s="8"/>
    </row>
    <row r="25" spans="2:9" x14ac:dyDescent="0.2">
      <c r="E25" s="8"/>
      <c r="F25" s="8"/>
    </row>
    <row r="26" spans="2:9" x14ac:dyDescent="0.2">
      <c r="E26" s="8"/>
      <c r="F26" s="8"/>
    </row>
    <row r="27" spans="2:9" x14ac:dyDescent="0.2">
      <c r="E27" s="8"/>
      <c r="F27" s="8"/>
    </row>
    <row r="28" spans="2:9" x14ac:dyDescent="0.2">
      <c r="E28" s="8"/>
      <c r="F28" s="8"/>
    </row>
    <row r="29" spans="2:9" x14ac:dyDescent="0.2">
      <c r="E29" s="8"/>
      <c r="F29" s="8"/>
    </row>
    <row r="30" spans="2:9" x14ac:dyDescent="0.2">
      <c r="E30" s="8"/>
      <c r="F30" s="8"/>
    </row>
    <row r="31" spans="2:9" x14ac:dyDescent="0.2">
      <c r="E31" s="8"/>
      <c r="F31" s="8"/>
    </row>
    <row r="32" spans="2:9" x14ac:dyDescent="0.2">
      <c r="E32" s="8"/>
      <c r="F32" s="8"/>
    </row>
    <row r="33" spans="2:19" x14ac:dyDescent="0.2"/>
    <row r="34" spans="2:19" x14ac:dyDescent="0.2"/>
    <row r="35" spans="2:19" x14ac:dyDescent="0.2"/>
    <row r="36" spans="2:19" x14ac:dyDescent="0.2">
      <c r="B36" s="21" t="str">
        <f>IF(Stats!C6&gt;0,"PLEASE NOTE, NOT ALL BASIC CRITERIA HAVE BEEN FILLED IN!","")</f>
        <v>PLEASE NOTE, NOT ALL BASIC CRITERIA HAVE BEEN FILLED IN!</v>
      </c>
      <c r="C36" s="21"/>
      <c r="D36" s="21"/>
      <c r="E36" s="21"/>
      <c r="F36" s="21"/>
      <c r="H36" s="21" t="str">
        <f>IF(Stats!C15&gt;0,"PLEASE NOTE, NOT ALL INTERMEDIATE CRITERIA HAVE BEEN FILLED IN!","")</f>
        <v>PLEASE NOTE, NOT ALL INTERMEDIATE CRITERIA HAVE BEEN FILLED IN!</v>
      </c>
      <c r="I36" s="21"/>
      <c r="J36" s="21"/>
      <c r="K36" s="21"/>
      <c r="L36" s="21"/>
      <c r="N36" s="21" t="str">
        <f>IF(Stats!C24&gt;0,"PLEASE NOTE, NOT ALL ADVANCED CRITERIA HAVE BEEN FILLED IN!","")</f>
        <v>PLEASE NOTE, NOT ALL ADVANCED CRITERIA HAVE BEEN FILLED IN!</v>
      </c>
      <c r="O36" s="21"/>
      <c r="P36" s="21"/>
      <c r="Q36" s="21"/>
      <c r="R36" s="21"/>
      <c r="S36" s="21"/>
    </row>
    <row r="37" spans="2:19" x14ac:dyDescent="0.2"/>
    <row r="38" spans="2:19" x14ac:dyDescent="0.2"/>
    <row r="39" spans="2:19" x14ac:dyDescent="0.2"/>
    <row r="40" spans="2:19" x14ac:dyDescent="0.2">
      <c r="B40" s="24"/>
      <c r="C40" s="24"/>
      <c r="E40" s="24"/>
      <c r="F40" s="24"/>
      <c r="H40" s="24"/>
      <c r="I40" s="24"/>
    </row>
    <row r="41" spans="2:19" x14ac:dyDescent="0.2"/>
    <row r="42" spans="2:19" x14ac:dyDescent="0.2"/>
    <row r="43" spans="2:19" x14ac:dyDescent="0.2"/>
    <row r="44" spans="2:19" x14ac:dyDescent="0.2"/>
    <row r="45" spans="2:19" x14ac:dyDescent="0.2"/>
    <row r="46" spans="2:19" x14ac:dyDescent="0.2"/>
    <row r="47" spans="2:19" x14ac:dyDescent="0.2"/>
    <row r="48" spans="2:19"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hidden="1" x14ac:dyDescent="0.2"/>
    <row r="76" hidden="1" x14ac:dyDescent="0.2"/>
    <row r="77" hidden="1" x14ac:dyDescent="0.2"/>
    <row r="78" hidden="1" x14ac:dyDescent="0.2"/>
    <row r="79" hidden="1" x14ac:dyDescent="0.2"/>
    <row r="80" hidden="1" x14ac:dyDescent="0.2"/>
    <row r="81" spans="2:9" hidden="1" x14ac:dyDescent="0.2"/>
    <row r="82" spans="2:9" hidden="1" x14ac:dyDescent="0.2"/>
    <row r="83" spans="2:9" hidden="1" x14ac:dyDescent="0.2"/>
    <row r="84" spans="2:9" hidden="1" x14ac:dyDescent="0.2"/>
    <row r="85" spans="2:9" hidden="1" x14ac:dyDescent="0.2">
      <c r="B85"/>
      <c r="C85"/>
      <c r="D85"/>
      <c r="E85"/>
      <c r="F85"/>
      <c r="G85"/>
      <c r="H85"/>
      <c r="I85"/>
    </row>
    <row r="86" spans="2:9" hidden="1" x14ac:dyDescent="0.2">
      <c r="C86"/>
      <c r="D86"/>
      <c r="E86"/>
      <c r="F86"/>
      <c r="G86"/>
      <c r="H86"/>
      <c r="I86"/>
    </row>
    <row r="87" spans="2:9" hidden="1" x14ac:dyDescent="0.2">
      <c r="C87"/>
      <c r="D87"/>
      <c r="E87"/>
      <c r="F87"/>
      <c r="G87"/>
      <c r="H87"/>
      <c r="I87"/>
    </row>
    <row r="88" spans="2:9" hidden="1" x14ac:dyDescent="0.2">
      <c r="C88"/>
      <c r="D88"/>
      <c r="E88"/>
      <c r="F88"/>
      <c r="G88"/>
      <c r="H88"/>
      <c r="I88"/>
    </row>
    <row r="89" spans="2:9" hidden="1" x14ac:dyDescent="0.2"/>
    <row r="90" spans="2:9" hidden="1" x14ac:dyDescent="0.2"/>
    <row r="91" spans="2:9" hidden="1" x14ac:dyDescent="0.2"/>
    <row r="92" spans="2:9" hidden="1" x14ac:dyDescent="0.2"/>
    <row r="93" spans="2:9" hidden="1" x14ac:dyDescent="0.2"/>
    <row r="94" spans="2:9" hidden="1" x14ac:dyDescent="0.2"/>
    <row r="95" spans="2:9" hidden="1" x14ac:dyDescent="0.2"/>
    <row r="96" spans="2:9" hidden="1" x14ac:dyDescent="0.2"/>
    <row r="97" hidden="1" x14ac:dyDescent="0.2"/>
    <row r="98" hidden="1" x14ac:dyDescent="0.2"/>
    <row r="99" hidden="1" x14ac:dyDescent="0.2"/>
    <row r="100" hidden="1" x14ac:dyDescent="0.2"/>
  </sheetData>
  <sheetProtection algorithmName="SHA-512" hashValue="5ks6qRjWtG/H40vHfNdSKP3P37x0zlvLlKUXVRsYngcBSFRhT7ZVvWXJQYML/iB7rjtaQ+yyNtDhgqvyTCs3ug==" saltValue="Nboi6h25HxTyvNHEpFOPyw==" spinCount="100000" sheet="1" objects="1" scenarios="1"/>
  <mergeCells count="10">
    <mergeCell ref="N36:S36"/>
    <mergeCell ref="B2:S4"/>
    <mergeCell ref="B40:C40"/>
    <mergeCell ref="B19:C19"/>
    <mergeCell ref="E19:F19"/>
    <mergeCell ref="H19:I19"/>
    <mergeCell ref="H40:I40"/>
    <mergeCell ref="E40:F40"/>
    <mergeCell ref="H36:L36"/>
    <mergeCell ref="B36:F36"/>
  </mergeCell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30ECB-4DD4-6248-80DB-5643F9CAAEC0}">
  <dimension ref="A2:F12"/>
  <sheetViews>
    <sheetView workbookViewId="0">
      <selection activeCell="F13" sqref="A1:F13"/>
    </sheetView>
  </sheetViews>
  <sheetFormatPr baseColWidth="10" defaultColWidth="11.1640625" defaultRowHeight="16" x14ac:dyDescent="0.2"/>
  <cols>
    <col min="1" max="1" width="32.1640625" bestFit="1" customWidth="1"/>
    <col min="2" max="2" width="15.5" bestFit="1" customWidth="1"/>
    <col min="3" max="3" width="6.6640625" bestFit="1" customWidth="1"/>
    <col min="4" max="4" width="4.5" bestFit="1" customWidth="1"/>
    <col min="5" max="5" width="7" bestFit="1" customWidth="1"/>
    <col min="6" max="6" width="10.6640625" bestFit="1" customWidth="1"/>
    <col min="7" max="7" width="6.6640625" bestFit="1" customWidth="1"/>
    <col min="8" max="8" width="4.5" bestFit="1" customWidth="1"/>
    <col min="9" max="9" width="7" bestFit="1" customWidth="1"/>
    <col min="10" max="10" width="25.6640625" bestFit="1" customWidth="1"/>
    <col min="11" max="11" width="37" bestFit="1" customWidth="1"/>
  </cols>
  <sheetData>
    <row r="2" spans="1:6" x14ac:dyDescent="0.2">
      <c r="A2" s="13" t="s">
        <v>8</v>
      </c>
      <c r="B2" t="s">
        <v>260</v>
      </c>
    </row>
    <row r="4" spans="1:6" x14ac:dyDescent="0.2">
      <c r="A4" s="13" t="s">
        <v>265</v>
      </c>
      <c r="B4" s="13" t="s">
        <v>261</v>
      </c>
    </row>
    <row r="5" spans="1:6" x14ac:dyDescent="0.2">
      <c r="A5" s="13" t="s">
        <v>262</v>
      </c>
      <c r="B5" t="s">
        <v>20</v>
      </c>
      <c r="C5" t="s">
        <v>40</v>
      </c>
      <c r="D5" t="s">
        <v>37</v>
      </c>
      <c r="E5" t="s">
        <v>264</v>
      </c>
      <c r="F5" t="s">
        <v>263</v>
      </c>
    </row>
    <row r="6" spans="1:6" x14ac:dyDescent="0.2">
      <c r="A6" s="12" t="s">
        <v>94</v>
      </c>
      <c r="B6" s="14">
        <v>17</v>
      </c>
      <c r="C6" s="14">
        <v>6</v>
      </c>
      <c r="D6" s="14">
        <v>6</v>
      </c>
      <c r="E6" s="14"/>
      <c r="F6" s="14">
        <v>29</v>
      </c>
    </row>
    <row r="7" spans="1:6" x14ac:dyDescent="0.2">
      <c r="A7" s="12" t="s">
        <v>183</v>
      </c>
      <c r="B7" s="14">
        <v>18</v>
      </c>
      <c r="C7" s="14">
        <v>5</v>
      </c>
      <c r="D7" s="14">
        <v>9</v>
      </c>
      <c r="E7" s="14"/>
      <c r="F7" s="14">
        <v>32</v>
      </c>
    </row>
    <row r="8" spans="1:6" x14ac:dyDescent="0.2">
      <c r="A8" s="12" t="s">
        <v>74</v>
      </c>
      <c r="B8" s="14">
        <v>7</v>
      </c>
      <c r="C8" s="14">
        <v>2</v>
      </c>
      <c r="D8" s="14"/>
      <c r="E8" s="14"/>
      <c r="F8" s="14">
        <v>9</v>
      </c>
    </row>
    <row r="9" spans="1:6" x14ac:dyDescent="0.2">
      <c r="A9" s="12" t="s">
        <v>47</v>
      </c>
      <c r="B9" s="14">
        <v>5</v>
      </c>
      <c r="C9" s="14">
        <v>5</v>
      </c>
      <c r="D9" s="14">
        <v>2</v>
      </c>
      <c r="E9" s="14"/>
      <c r="F9" s="14">
        <v>12</v>
      </c>
    </row>
    <row r="10" spans="1:6" x14ac:dyDescent="0.2">
      <c r="A10" s="12" t="s">
        <v>16</v>
      </c>
      <c r="B10" s="14">
        <v>10</v>
      </c>
      <c r="C10" s="14">
        <v>1</v>
      </c>
      <c r="D10" s="14">
        <v>1</v>
      </c>
      <c r="E10" s="14"/>
      <c r="F10" s="14">
        <v>12</v>
      </c>
    </row>
    <row r="11" spans="1:6" x14ac:dyDescent="0.2">
      <c r="A11" s="12" t="s">
        <v>157</v>
      </c>
      <c r="B11" s="14">
        <v>3</v>
      </c>
      <c r="C11" s="14">
        <v>2</v>
      </c>
      <c r="D11" s="14">
        <v>6</v>
      </c>
      <c r="E11" s="14"/>
      <c r="F11" s="14">
        <v>11</v>
      </c>
    </row>
    <row r="12" spans="1:6" x14ac:dyDescent="0.2">
      <c r="A12" s="12" t="s">
        <v>263</v>
      </c>
      <c r="B12" s="14">
        <v>60</v>
      </c>
      <c r="C12" s="14">
        <v>21</v>
      </c>
      <c r="D12" s="14">
        <v>24</v>
      </c>
      <c r="E12" s="14"/>
      <c r="F12" s="14">
        <v>105</v>
      </c>
    </row>
  </sheetData>
  <sheetProtection algorithmName="SHA-512" hashValue="Iy3ZN1OawVHL7X3ceubGqa9XfTYIR1a5DIY34c3T92ZGR7C74Ol63JSMiZJbES5T+Dmt7SjyChd+cj4BWfZE9g==" saltValue="bc98HMzTucsknGitKDH0eg=="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69AF4-3394-E34A-B15A-E9D5652F4EEA}">
  <dimension ref="A1:D5"/>
  <sheetViews>
    <sheetView workbookViewId="0">
      <selection activeCell="F11" sqref="F11"/>
    </sheetView>
  </sheetViews>
  <sheetFormatPr baseColWidth="10" defaultColWidth="11" defaultRowHeight="16" x14ac:dyDescent="0.2"/>
  <sheetData>
    <row r="1" spans="1:4" x14ac:dyDescent="0.2">
      <c r="A1" t="s">
        <v>20</v>
      </c>
      <c r="B1" t="s">
        <v>20</v>
      </c>
      <c r="C1" t="s">
        <v>19</v>
      </c>
      <c r="D1" t="s">
        <v>257</v>
      </c>
    </row>
    <row r="2" spans="1:4" x14ac:dyDescent="0.2">
      <c r="A2" t="s">
        <v>252</v>
      </c>
      <c r="B2" t="s">
        <v>40</v>
      </c>
      <c r="C2" t="s">
        <v>29</v>
      </c>
      <c r="D2" t="s">
        <v>258</v>
      </c>
    </row>
    <row r="3" spans="1:4" x14ac:dyDescent="0.2">
      <c r="A3" t="s">
        <v>40</v>
      </c>
      <c r="B3" t="s">
        <v>37</v>
      </c>
      <c r="C3" t="s">
        <v>36</v>
      </c>
      <c r="D3" t="s">
        <v>259</v>
      </c>
    </row>
    <row r="4" spans="1:4" x14ac:dyDescent="0.2">
      <c r="A4" t="s">
        <v>37</v>
      </c>
      <c r="C4" t="s">
        <v>93</v>
      </c>
    </row>
    <row r="5" spans="1:4" x14ac:dyDescent="0.2">
      <c r="C5" t="s">
        <v>168</v>
      </c>
    </row>
  </sheetData>
  <dataValidations count="1">
    <dataValidation type="list" allowBlank="1" showInputMessage="1" showErrorMessage="1" sqref="C15 E13" xr:uid="{E3258F12-BBBB-49F7-80E9-98F4AA3AA755}">
      <formula1>$B$1:$B$3</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Instructions for Use</vt:lpstr>
      <vt:lpstr>Data Entry</vt:lpstr>
      <vt:lpstr>Stats</vt:lpstr>
      <vt:lpstr>Results</vt:lpstr>
      <vt:lpstr>Sheet3</vt:lpstr>
      <vt:lpstr>Dropdown Options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2019-07-22T13:22:51Z</dcterms:created>
  <dcterms:modified xsi:type="dcterms:W3CDTF">2020-02-27T10:10:02Z</dcterms:modified>
  <cp:category/>
  <cp:contentStatus/>
</cp:coreProperties>
</file>